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dral\MТА\aimag\EM-n uzuulelt IV buleg\"/>
    </mc:Choice>
  </mc:AlternateContent>
  <xr:revisionPtr revIDLastSave="0" documentId="13_ncr:1_{43E5DAAC-B268-4206-AB0A-E76A07E92197}" xr6:coauthVersionLast="47" xr6:coauthVersionMax="47" xr10:uidLastSave="{00000000-0000-0000-0000-000000000000}"/>
  <bookViews>
    <workbookView xWindow="28680" yWindow="-120" windowWidth="29040" windowHeight="15840" tabRatio="741" activeTab="7" xr2:uid="{AFF3B1E7-322F-4787-BA6F-2982E9545269}"/>
  </bookViews>
  <sheets>
    <sheet name="4.32" sheetId="1" r:id="rId1"/>
    <sheet name="4.33" sheetId="2" r:id="rId2"/>
    <sheet name="4.34" sheetId="3" r:id="rId3"/>
    <sheet name="4.35" sheetId="4" r:id="rId4"/>
    <sheet name="4.36" sheetId="5" r:id="rId5"/>
    <sheet name="4.37" sheetId="6" r:id="rId6"/>
    <sheet name="4.38" sheetId="7" r:id="rId7"/>
    <sheet name="4.39" sheetId="8" r:id="rId8"/>
    <sheet name="4.40" sheetId="9" r:id="rId9"/>
    <sheet name="4.41" sheetId="10" r:id="rId10"/>
    <sheet name="4.42" sheetId="11" r:id="rId11"/>
    <sheet name="4.43" sheetId="12" r:id="rId12"/>
    <sheet name="4.44" sheetId="13" r:id="rId13"/>
    <sheet name="table 4.3" sheetId="14" r:id="rId14"/>
    <sheet name="4.45" sheetId="15" r:id="rId15"/>
    <sheet name="4.46" sheetId="16" r:id="rId16"/>
    <sheet name="4.47" sheetId="18" r:id="rId17"/>
    <sheet name="4.48" sheetId="19" r:id="rId18"/>
    <sheet name="table 4.4" sheetId="20" r:id="rId19"/>
  </sheets>
  <externalReferences>
    <externalReference r:id="rId2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15" l="1"/>
  <c r="L64" i="5" l="1"/>
  <c r="L65" i="5"/>
  <c r="L66" i="5"/>
  <c r="L67" i="5"/>
  <c r="L63" i="5"/>
  <c r="O65" i="5"/>
  <c r="K9" i="8" l="1"/>
  <c r="S7" i="8"/>
  <c r="S6" i="8"/>
  <c r="R7" i="8"/>
  <c r="R6" i="8"/>
  <c r="Q7" i="8"/>
  <c r="Q6" i="8"/>
  <c r="P7" i="8"/>
  <c r="P6" i="8"/>
  <c r="S5" i="6"/>
  <c r="S4" i="6"/>
  <c r="R5" i="6"/>
  <c r="R4" i="6"/>
  <c r="U13" i="6"/>
  <c r="U11" i="6"/>
  <c r="V13" i="6"/>
  <c r="V11" i="6"/>
  <c r="S8" i="12"/>
  <c r="S7" i="12"/>
  <c r="R8" i="12"/>
  <c r="Q8" i="12"/>
  <c r="Q7" i="12"/>
  <c r="R7" i="12" s="1"/>
  <c r="P18" i="12"/>
  <c r="P17" i="12"/>
  <c r="P16" i="12"/>
  <c r="S18" i="19" l="1"/>
  <c r="R18" i="19"/>
  <c r="Q18" i="19"/>
  <c r="B26" i="19"/>
  <c r="B25" i="19"/>
  <c r="Q16" i="18"/>
  <c r="Q15" i="18"/>
  <c r="X12" i="18"/>
  <c r="X11" i="18"/>
  <c r="W12" i="18"/>
  <c r="W11" i="18"/>
  <c r="W15" i="18"/>
  <c r="W16" i="18" s="1"/>
  <c r="S6" i="18" l="1"/>
  <c r="S5" i="18"/>
  <c r="R6" i="18"/>
  <c r="R5" i="18"/>
  <c r="Q6" i="18"/>
  <c r="Q5" i="18"/>
  <c r="R11" i="18"/>
  <c r="Q11" i="18"/>
  <c r="S8" i="16"/>
  <c r="S7" i="16"/>
  <c r="R8" i="16"/>
  <c r="R7" i="16"/>
  <c r="Q8" i="16"/>
  <c r="Q7" i="16"/>
  <c r="P8" i="16"/>
  <c r="S7" i="15"/>
  <c r="T8" i="15"/>
  <c r="R8" i="15"/>
  <c r="S8" i="15" s="1"/>
  <c r="T7" i="15"/>
  <c r="E37" i="15"/>
  <c r="F30" i="15" s="1"/>
  <c r="C37" i="15"/>
  <c r="D29" i="15" s="1"/>
  <c r="D32" i="15" l="1"/>
  <c r="D36" i="15"/>
  <c r="D33" i="15"/>
  <c r="D31" i="15"/>
  <c r="D35" i="15"/>
  <c r="D30" i="15"/>
  <c r="F29" i="15"/>
  <c r="F36" i="15"/>
  <c r="F35" i="15"/>
  <c r="D34" i="15"/>
  <c r="F34" i="15"/>
  <c r="F33" i="15"/>
  <c r="F32" i="15"/>
  <c r="F31" i="15"/>
  <c r="E33" i="13" l="1"/>
  <c r="F33" i="13"/>
  <c r="G33" i="13"/>
  <c r="H33" i="13"/>
  <c r="D33" i="13"/>
  <c r="S17" i="13"/>
  <c r="Q17" i="13"/>
  <c r="R17" i="13" s="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42" i="11"/>
  <c r="C63" i="11"/>
  <c r="B63" i="11"/>
  <c r="D39" i="11"/>
  <c r="C39" i="11"/>
  <c r="C38" i="11"/>
  <c r="C34" i="11"/>
  <c r="C35" i="11" s="1"/>
  <c r="S10" i="11"/>
  <c r="R10" i="11"/>
  <c r="Q10" i="11"/>
  <c r="Q17" i="10"/>
  <c r="R17" i="10" s="1"/>
  <c r="S18" i="10"/>
  <c r="R18" i="10"/>
  <c r="Q18" i="10"/>
  <c r="S17" i="10"/>
  <c r="P18" i="10"/>
  <c r="X16" i="10"/>
  <c r="W16" i="10"/>
  <c r="Q5" i="7" l="1"/>
  <c r="W10" i="4" l="1"/>
  <c r="W11" i="4" s="1"/>
  <c r="W7" i="4"/>
  <c r="W6" i="4"/>
  <c r="B61" i="5"/>
  <c r="D61" i="5"/>
  <c r="D63" i="5"/>
  <c r="D64" i="5"/>
  <c r="D65" i="5"/>
  <c r="D66" i="5"/>
  <c r="D67" i="5"/>
  <c r="D68" i="5"/>
  <c r="D69" i="5"/>
  <c r="D70" i="5"/>
  <c r="D71" i="5"/>
  <c r="D72" i="5"/>
  <c r="D73" i="5"/>
  <c r="D76" i="5"/>
  <c r="D77" i="5"/>
  <c r="D78" i="5"/>
  <c r="D79" i="5"/>
  <c r="D80" i="5"/>
  <c r="D81" i="5"/>
  <c r="D82" i="5"/>
  <c r="D83" i="5"/>
  <c r="W6" i="6"/>
  <c r="F55" i="5"/>
  <c r="F57" i="5"/>
  <c r="F59" i="5"/>
  <c r="F50" i="5"/>
  <c r="F51" i="5"/>
  <c r="F52" i="5"/>
  <c r="F53" i="5"/>
  <c r="F49" i="5"/>
  <c r="F47" i="5"/>
  <c r="F43" i="5"/>
  <c r="F41" i="5"/>
  <c r="E40" i="5" l="1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39" i="5"/>
  <c r="N23" i="5"/>
  <c r="S8" i="4" l="1"/>
  <c r="S7" i="4"/>
  <c r="R8" i="4"/>
  <c r="R7" i="4"/>
  <c r="Q8" i="4"/>
  <c r="Q7" i="4"/>
  <c r="T6" i="5"/>
  <c r="S5" i="9" l="1"/>
  <c r="S6" i="9"/>
  <c r="R6" i="9"/>
  <c r="R5" i="9"/>
  <c r="Q6" i="9"/>
  <c r="Q5" i="9"/>
  <c r="B52" i="3" l="1"/>
  <c r="C40" i="1" l="1"/>
  <c r="D40" i="1"/>
  <c r="D39" i="1"/>
  <c r="C39" i="1"/>
  <c r="B40" i="1"/>
  <c r="B39" i="1"/>
  <c r="B37" i="1"/>
  <c r="C39" i="2" l="1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38" i="2"/>
  <c r="B66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8" i="2"/>
  <c r="D36" i="2"/>
  <c r="I19" i="19" l="1"/>
  <c r="J6" i="18"/>
  <c r="I6" i="18"/>
  <c r="O8" i="16"/>
  <c r="N8" i="16"/>
  <c r="M8" i="16"/>
  <c r="J8" i="16"/>
  <c r="I8" i="16"/>
  <c r="U7" i="15"/>
  <c r="N17" i="12"/>
  <c r="O17" i="12"/>
  <c r="O18" i="12"/>
  <c r="M17" i="12"/>
  <c r="O16" i="12"/>
  <c r="N16" i="12"/>
  <c r="M16" i="12"/>
  <c r="M8" i="12"/>
  <c r="J8" i="12"/>
  <c r="I8" i="12"/>
  <c r="J7" i="12"/>
  <c r="S11" i="11"/>
  <c r="J11" i="11"/>
  <c r="I11" i="11"/>
  <c r="Q11" i="11" s="1"/>
  <c r="R11" i="11" s="1"/>
  <c r="J10" i="11"/>
  <c r="O18" i="10"/>
  <c r="N18" i="10"/>
  <c r="K18" i="10"/>
  <c r="J18" i="10"/>
  <c r="I18" i="10"/>
  <c r="H18" i="10"/>
  <c r="G18" i="10"/>
  <c r="F18" i="10"/>
  <c r="E18" i="10"/>
  <c r="D18" i="10"/>
  <c r="C18" i="10"/>
  <c r="B18" i="10"/>
  <c r="S11" i="10"/>
  <c r="J9" i="10"/>
  <c r="I9" i="10"/>
  <c r="N8" i="10"/>
  <c r="J8" i="10"/>
  <c r="U6" i="10"/>
  <c r="O15" i="8"/>
  <c r="N7" i="8"/>
  <c r="M7" i="8"/>
  <c r="N6" i="8"/>
  <c r="M6" i="8"/>
  <c r="R5" i="7"/>
  <c r="S5" i="7"/>
  <c r="O20" i="5"/>
  <c r="N20" i="5"/>
  <c r="M20" i="5"/>
  <c r="S19" i="5"/>
  <c r="N13" i="5"/>
  <c r="N12" i="5"/>
  <c r="S12" i="5" s="1"/>
  <c r="M12" i="5"/>
  <c r="Q12" i="5" s="1"/>
  <c r="R12" i="5" s="1"/>
  <c r="T11" i="5"/>
  <c r="S11" i="5"/>
  <c r="Q11" i="5"/>
  <c r="R11" i="5" s="1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37" i="1"/>
  <c r="C34" i="1"/>
  <c r="D37" i="1"/>
  <c r="C35" i="1"/>
  <c r="D34" i="1"/>
  <c r="N18" i="12" l="1"/>
</calcChain>
</file>

<file path=xl/sharedStrings.xml><?xml version="1.0" encoding="utf-8"?>
<sst xmlns="http://schemas.openxmlformats.org/spreadsheetml/2006/main" count="535" uniqueCount="256">
  <si>
    <t xml:space="preserve">Зураг 4. 32 БОЭТ-ийн хүний нөөцийн үзүүлэлт, 2014-2023 он </t>
  </si>
  <si>
    <t xml:space="preserve">Зураг 4.33 БОЭТ-ийн их эмч мэргэшлийн төрөл, хувиар, 2023 он </t>
  </si>
  <si>
    <t xml:space="preserve">Зураг 4.34 БОЭТ-ийн сувилагч мэргэшлийн төрөл, хувь, 2023 он </t>
  </si>
  <si>
    <t>Зураг 4.35 БОЭТ-ийн стационарын тусламж үйлчилгээний үзүүлэлт, 2014-2023 он</t>
  </si>
  <si>
    <t>Зураг 4. 36 БОЭТ-д хэвтэн эмчлүүлэгчдийн хувь, дундаж ор хоног, тасгаар, 2023 он</t>
  </si>
  <si>
    <t>Зураг 4. 37 БОЭТ-ийн хоног болоогүй нас баралтын хувь, дундаж ор хоног, 2014-2023 он</t>
  </si>
  <si>
    <t>Зураг 4.38 Амбулаториор үйлчлүүлэгчдийн тоо, мянган хүн, 2014-2023 он</t>
  </si>
  <si>
    <t>Зураг 4.39 Эх, хүүхдийн эндэгдлийн түвшин, 2014-2023 он</t>
  </si>
  <si>
    <t>Зураг 4.41 Хэвтэн эмчлүүлэгчийн тоо, (мянга), хөдөө орон нутгаас ирж эмчлүүлэгчдийн эзлэх хувь, 2014-2023 он</t>
  </si>
  <si>
    <t>Зураг 4.42 Төрөлжсөн мэргэшлийн эмнэлэг, тусгай мэргэжлийн төвүүдийн дундаж ор хоног, 2014-2023 он</t>
  </si>
  <si>
    <t>Зураг 4.43 Хоног болоогүй нас баралтын хувь, 2014-2023 он</t>
  </si>
  <si>
    <t>Зураг 4.44 Амбулаторид үйлчлүүлэгчдийн тоо, мянган хүнээр 2013-2022 он</t>
  </si>
  <si>
    <t>Хүснэгт 4. 3 Төрөлжсөн мэргэшлийн эмнэлэг, тусгай мэргэжлийн төвүүдийн эмнэлгийн тусламж үйлчилгээний зарим үзүүлэлтүүд, 2023 он</t>
  </si>
  <si>
    <t>Эмнэлгүүдийн нэр</t>
  </si>
  <si>
    <t xml:space="preserve">Амбулаторийн үзлэгийн тоо </t>
  </si>
  <si>
    <t xml:space="preserve">Эмнэлэгт хэвтэн эмчлүүлэгчид </t>
  </si>
  <si>
    <t>Дундаж ор хоног</t>
  </si>
  <si>
    <t>Хоног болоогүй нас баралтын хувь</t>
  </si>
  <si>
    <t>Улсын нэгдүгээр төв эмнэлэг</t>
  </si>
  <si>
    <t>349 557</t>
  </si>
  <si>
    <t>Улсын хоёрдугаар төв эмнэлэг</t>
  </si>
  <si>
    <t>176 097</t>
  </si>
  <si>
    <t>Улсын гуравдугаар төв эмнэлэг</t>
  </si>
  <si>
    <t>282 317</t>
  </si>
  <si>
    <t>Эх хүүхдийн эрүүл мэндийн үндэсний төв</t>
  </si>
  <si>
    <t>365 875</t>
  </si>
  <si>
    <t>Хавдар судлалын үндэсний төв</t>
  </si>
  <si>
    <t>169 593</t>
  </si>
  <si>
    <t>Халдварт өвчин судлалын үндэсний төв</t>
  </si>
  <si>
    <t>105 967</t>
  </si>
  <si>
    <t>Гэмтэл согог судлалын үндэсний төв</t>
  </si>
  <si>
    <t>297 132</t>
  </si>
  <si>
    <t>Арьсны өвчин судлалын үндэсний төв</t>
  </si>
  <si>
    <t>96 420</t>
  </si>
  <si>
    <t>Сэтгэцийн эрүүл мэндийн үндэсний төв</t>
  </si>
  <si>
    <t>78 202</t>
  </si>
  <si>
    <t>Хүүхдийн төв сувилал</t>
  </si>
  <si>
    <t>1 010</t>
  </si>
  <si>
    <t>Уламжлалт анагаах ухаан технологийн хүрээлэн</t>
  </si>
  <si>
    <t>11 849</t>
  </si>
  <si>
    <t>Монгол-Японы сургалтын эмнэлэг</t>
  </si>
  <si>
    <t>145 409</t>
  </si>
  <si>
    <t>Шүүхийн шинжилгээний ерөнхий газар</t>
  </si>
  <si>
    <t>16 150</t>
  </si>
  <si>
    <t>Геронтологийн үндэсний төв</t>
  </si>
  <si>
    <t>36 531</t>
  </si>
  <si>
    <t>Эх, нярай, эмэгтэйчүүдийн үндэсний төв-2</t>
  </si>
  <si>
    <t xml:space="preserve">116 823 </t>
  </si>
  <si>
    <t>Зураг 4.45 Хувийн хэвшлийн эмнэлгийн тоо, 2014-2023 он</t>
  </si>
  <si>
    <t>Зураг 4.46 Хувийн хэвшлийн эмнэлгийн хэвтүүлэн эмчлэх орны тоо, 2014-2023 он</t>
  </si>
  <si>
    <t>Зураг 4.47 Хувийн эмнэлэгт хэвтэн эмчлүүлэгчдийн тоо, мянган хүн, 2014-2023 он</t>
  </si>
  <si>
    <t>Зураг 4.48 Амбулаториор үйлчлүүлэгдийн тоо, мянган хүн, 2014-2023 он</t>
  </si>
  <si>
    <t>Үзүүлэлт</t>
  </si>
  <si>
    <t>Эмнэлгийн тоо</t>
  </si>
  <si>
    <t>Хэвтэн эмчлүүлэгчдийн тоо</t>
  </si>
  <si>
    <t>Тоо</t>
  </si>
  <si>
    <t>Хувь</t>
  </si>
  <si>
    <t>5-8 ортой</t>
  </si>
  <si>
    <t>9-12 ортой</t>
  </si>
  <si>
    <t>13-19 ортой</t>
  </si>
  <si>
    <t>20-25 ортой</t>
  </si>
  <si>
    <t>26-39 ортой</t>
  </si>
  <si>
    <t>40-49 ортой</t>
  </si>
  <si>
    <t>50 ба түүнээс дээш ортой</t>
  </si>
  <si>
    <t xml:space="preserve">Нийт дүн </t>
  </si>
  <si>
    <t>Хүснэгт 4.4 Хувийн эмнэлгийн орны хүчин чадлын үзүүлэлт, 2023 он</t>
  </si>
  <si>
    <t xml:space="preserve">Нийт ажиллагчид
</t>
  </si>
  <si>
    <t>Их эмч</t>
  </si>
  <si>
    <t>Сувилагч</t>
  </si>
  <si>
    <t>Мэргэшил</t>
  </si>
  <si>
    <t>Зоонозын өвчний</t>
  </si>
  <si>
    <t xml:space="preserve">Настны </t>
  </si>
  <si>
    <t>Харшлын</t>
  </si>
  <si>
    <t xml:space="preserve">Арьсны </t>
  </si>
  <si>
    <t xml:space="preserve">Сэргээн засахаын </t>
  </si>
  <si>
    <t xml:space="preserve">Хавдрын </t>
  </si>
  <si>
    <t>Анатомын эмгэг судлал</t>
  </si>
  <si>
    <t>Чих хамар хоолойн</t>
  </si>
  <si>
    <t>Яаралтай тусламжийн</t>
  </si>
  <si>
    <t>Нүдний</t>
  </si>
  <si>
    <t xml:space="preserve">Сүрьеэгийн </t>
  </si>
  <si>
    <t xml:space="preserve">Сэтгэцийн </t>
  </si>
  <si>
    <t xml:space="preserve">Халдвартын </t>
  </si>
  <si>
    <t xml:space="preserve">Уламжлалт анагаахын </t>
  </si>
  <si>
    <t xml:space="preserve">Мэдрэлийн </t>
  </si>
  <si>
    <t>Эрчимт эмчилгээний</t>
  </si>
  <si>
    <t>Эмнэлзүйн эмгэг судлал</t>
  </si>
  <si>
    <t xml:space="preserve">Гэмтлийн </t>
  </si>
  <si>
    <t>Мэдээгүйжүүлэгийн</t>
  </si>
  <si>
    <t>Дүрс оношлогооны</t>
  </si>
  <si>
    <t>Хүүхдийн</t>
  </si>
  <si>
    <t>Шүдний</t>
  </si>
  <si>
    <t>Бусад</t>
  </si>
  <si>
    <t xml:space="preserve">Мэс заслын </t>
  </si>
  <si>
    <t>Ерөнхий мэргэжлийн</t>
  </si>
  <si>
    <t>Эх барих эмэгтэйчүүдийн</t>
  </si>
  <si>
    <t>Дотрын</t>
  </si>
  <si>
    <t>Арьсны</t>
  </si>
  <si>
    <t xml:space="preserve">Цус, хавдрын </t>
  </si>
  <si>
    <t>Чих, хамар, хоолойн</t>
  </si>
  <si>
    <t xml:space="preserve">Нүүр амны </t>
  </si>
  <si>
    <t>Дархлаажуулалтын</t>
  </si>
  <si>
    <t>Гэмтэл, согогийн</t>
  </si>
  <si>
    <t>Уламжлалт анагаахын</t>
  </si>
  <si>
    <t>Хөнгөвчлөх эмчилгээний</t>
  </si>
  <si>
    <t xml:space="preserve">Сэргээн засахын </t>
  </si>
  <si>
    <t xml:space="preserve">Яаралтай тусламжийн </t>
  </si>
  <si>
    <t xml:space="preserve">Нярайн </t>
  </si>
  <si>
    <t>Мэдээгүйжүүлэг</t>
  </si>
  <si>
    <t xml:space="preserve">Хүүхдийн </t>
  </si>
  <si>
    <t>Мэс заслын</t>
  </si>
  <si>
    <t xml:space="preserve">Ерөнхий мэргэжлийн </t>
  </si>
  <si>
    <t>10 жил дундаж</t>
  </si>
  <si>
    <t>10 жилийн дунджаас</t>
  </si>
  <si>
    <t>өмнөх оноос</t>
  </si>
  <si>
    <t>Эмнэлгийн орны тоо</t>
  </si>
  <si>
    <t>Хэвтэн эмчлүүлэгчийн тоо /мянга/</t>
  </si>
  <si>
    <t>2010 он</t>
  </si>
  <si>
    <t>2011 он</t>
  </si>
  <si>
    <t>2012 он</t>
  </si>
  <si>
    <t>2013 он</t>
  </si>
  <si>
    <t>2014 он</t>
  </si>
  <si>
    <t>2015 он</t>
  </si>
  <si>
    <t>2016 он</t>
  </si>
  <si>
    <t>2017 он</t>
  </si>
  <si>
    <t>2018 он</t>
  </si>
  <si>
    <t>2019 он</t>
  </si>
  <si>
    <t>2020 он</t>
  </si>
  <si>
    <t>2021 он</t>
  </si>
  <si>
    <t>2022 он</t>
  </si>
  <si>
    <t>2023 он</t>
  </si>
  <si>
    <t>Нас баралт/emnelgiin/</t>
  </si>
  <si>
    <t>Хоног болоогүй</t>
  </si>
  <si>
    <t>8-24 цаг</t>
  </si>
  <si>
    <t>8-24 цаг хувь</t>
  </si>
  <si>
    <t>Амбулаториор үйлчлүүлэгчдийн тоо /мянга/</t>
  </si>
  <si>
    <t xml:space="preserve">Эхийн эндэгдэл (100 000 амьд төрөлтөд) </t>
  </si>
  <si>
    <t>Нялхсын эндэгдэл (1000 амьд төрөлтөд)</t>
  </si>
  <si>
    <t>амьд төрсөн нярай</t>
  </si>
  <si>
    <t>Эхийн эндэгдэл</t>
  </si>
  <si>
    <t xml:space="preserve">Нялхсын эндэгдэл </t>
  </si>
  <si>
    <t>Их эмчийн тоо</t>
  </si>
  <si>
    <t>Сувилагчийн тоо</t>
  </si>
  <si>
    <t>Хэвтэн эмчлүүлэгчийн тоо</t>
  </si>
  <si>
    <t xml:space="preserve">Доод шатлалаас ирж хэвтэн эмчлүүлэгчдийн хувь
</t>
  </si>
  <si>
    <t>Онууд</t>
  </si>
  <si>
    <t>Амбулаториор үйлчлүүлэгчдийн тоо</t>
  </si>
  <si>
    <t>201.5 tailan</t>
  </si>
  <si>
    <t>Доод шатлалаас ирж хэвтэн эмчлүүлэгчдийн тоо /хөдөөнөөс/</t>
  </si>
  <si>
    <t>Нас баралт</t>
  </si>
  <si>
    <t>Амбулаториор үйлчлүүлэгчдийн тоо/ мянга/</t>
  </si>
  <si>
    <t>Ортой эмнэлгийн тоо</t>
  </si>
  <si>
    <t>Хувийн клиник</t>
  </si>
  <si>
    <t>Нийт оронд эзлэх хувь</t>
  </si>
  <si>
    <t>Эмнэлэгт хэвтсэн хүний тоо</t>
  </si>
  <si>
    <t>Амбулаторийн үзлэгийн тоо</t>
  </si>
  <si>
    <t>2024 он</t>
  </si>
  <si>
    <t>Өрхийн</t>
  </si>
  <si>
    <t>Зураг 4.40 Тусгай мэргэжлийн төв, төрөлжсөн мэргэшлийн эмнэлгүүдийн их эмч, сувилагчийн тоо, 2014-2024 он</t>
  </si>
  <si>
    <t>ор хоног</t>
  </si>
  <si>
    <t>Дотор</t>
  </si>
  <si>
    <t>Мэс засал</t>
  </si>
  <si>
    <t>Төрөх</t>
  </si>
  <si>
    <t>Эмэгтэйчүүд</t>
  </si>
  <si>
    <t>Хүүхэд</t>
  </si>
  <si>
    <t>Халдварт</t>
  </si>
  <si>
    <t>Арьс харшил</t>
  </si>
  <si>
    <t>Сүрьеэ</t>
  </si>
  <si>
    <t>Мэдрэл</t>
  </si>
  <si>
    <t>Сэтгэц</t>
  </si>
  <si>
    <t>Гэмтэл</t>
  </si>
  <si>
    <t>Нефролог</t>
  </si>
  <si>
    <t>Уролог</t>
  </si>
  <si>
    <t>Эрчимт эмчилгээ, сэхээн амьдруулах</t>
  </si>
  <si>
    <t>Нүд</t>
  </si>
  <si>
    <t>Чих, хамар хоолой</t>
  </si>
  <si>
    <t>Эрүү нүүр</t>
  </si>
  <si>
    <t>Хавдар</t>
  </si>
  <si>
    <t>Уламжлалт эмчилгээ</t>
  </si>
  <si>
    <t>Хөнгөвчлөх эмчилгээ</t>
  </si>
  <si>
    <t>хэвтэж эмчлүүлсэн хүний тоо</t>
  </si>
  <si>
    <t>Ор хоног</t>
  </si>
  <si>
    <t>Хэвтэн эмчлүүлэгчдийн хувь</t>
  </si>
  <si>
    <t xml:space="preserve">mes zasal </t>
  </si>
  <si>
    <t>ct 2-mes zasal</t>
  </si>
  <si>
    <t>or honog/ornii too= ornii ashiglalt*100/366</t>
  </si>
  <si>
    <t>huwi--uls, boet 2g bodoh</t>
  </si>
  <si>
    <t>ornii too</t>
  </si>
  <si>
    <t>or ashiglaltiin huwi</t>
  </si>
  <si>
    <t xml:space="preserve"> or honog</t>
  </si>
  <si>
    <t>or ashiglalt</t>
  </si>
  <si>
    <t>uls</t>
  </si>
  <si>
    <t>or honog</t>
  </si>
  <si>
    <t xml:space="preserve"> or ashiglaltiin huwi</t>
  </si>
  <si>
    <t>boet</t>
  </si>
  <si>
    <t xml:space="preserve">2024 он </t>
  </si>
  <si>
    <t>яаралтай тусламжийн тасгаар үйлчлүүлсэн хүний тоо</t>
  </si>
  <si>
    <t>0-5 хүртэлх</t>
  </si>
  <si>
    <t>5-16 хүртэлх</t>
  </si>
  <si>
    <t>16, түүнээс дээш</t>
  </si>
  <si>
    <t>Түргэн тусламжаар</t>
  </si>
  <si>
    <t>Өөрөө</t>
  </si>
  <si>
    <t>Амбулаториор</t>
  </si>
  <si>
    <t>Бусад эмнэлгээс</t>
  </si>
  <si>
    <t>1-3 цаг</t>
  </si>
  <si>
    <t>3-12 цаг</t>
  </si>
  <si>
    <t>24 цагаас дээш</t>
  </si>
  <si>
    <t>turuljsun mergeshliin emneleg, tusgai mergejliin tuv</t>
  </si>
  <si>
    <t>366 honog</t>
  </si>
  <si>
    <t>Тасаг:Төрөлжсөн, тусгай</t>
  </si>
  <si>
    <t>ор хоног-2024</t>
  </si>
  <si>
    <t>Хэвтэж эмчлүүлсэн 
хүний тоо-2024</t>
  </si>
  <si>
    <t>Дундаж ор хоног тасгаар-2024</t>
  </si>
  <si>
    <t>улсын дундаж ор хоног-2024 он</t>
  </si>
  <si>
    <t>Урьдчилан сэргийлэх</t>
  </si>
  <si>
    <t>Идэвхтэй хяналт</t>
  </si>
  <si>
    <t>Гэрийн Идэвхтэй</t>
  </si>
  <si>
    <t>Дуудлагаар гэрийн үзлэг</t>
  </si>
  <si>
    <t>Амбулаторийн үзлэг</t>
  </si>
  <si>
    <t>АШУҮИС-ийн төв эмнэлэг</t>
  </si>
  <si>
    <t>Хүснэгт 4. 3 Төрөлжсөн мэргэшлийн эмнэлэг, тусгай мэргэжлийн төвүүдийн эмнэлгийн тусламж үйлчилгээний зарим үзүүлэлтүүд, 2024 он</t>
  </si>
  <si>
    <t>Клиник /хувийн/</t>
  </si>
  <si>
    <t>Ортой хувийн эмнэлэг</t>
  </si>
  <si>
    <t>Сувилал</t>
  </si>
  <si>
    <t>Хөнгөвчлөх, асаргаа сувилгааны төв</t>
  </si>
  <si>
    <t>Сувилахуйн төв</t>
  </si>
  <si>
    <t>Эм ханган нийлүүлэх байгууллага</t>
  </si>
  <si>
    <t>Эмийн үйлдвэр</t>
  </si>
  <si>
    <t>Эмийн сан</t>
  </si>
  <si>
    <t>Нийт ажиллагчид</t>
  </si>
  <si>
    <t>2023 on</t>
  </si>
  <si>
    <t>huwi</t>
  </si>
  <si>
    <t>хувь</t>
  </si>
  <si>
    <t>улс</t>
  </si>
  <si>
    <t>орны эргэлт-Хэвтэн эмчлүүлэгчийн тоо/орны тоо</t>
  </si>
  <si>
    <t>Амб.үзлэг-2024 он</t>
  </si>
  <si>
    <t>201.16.1</t>
  </si>
  <si>
    <t>201.14.1</t>
  </si>
  <si>
    <t>хоног болоогүй нас баралтын хувь</t>
  </si>
  <si>
    <t>АМ-7-&gt;байгууллага шүүх-&gt;нас барсан газар эмнэлэгт шүүх-&gt;</t>
  </si>
  <si>
    <t>АМ-7-&gt;байгууллага шүүх-&gt;нас барсан газар эмнэлэгт шүүх-&gt;ор хоногоос 0 шүүх</t>
  </si>
  <si>
    <t>АМ-7-&gt;байгууллага шүүх-&gt;нас барсан газар эмнэлэгт шүүх-&gt;ор хоногоос 0 шүүх-&gt;ор цагаас 8-23 шүүх</t>
  </si>
  <si>
    <t>8-24 цагийн дотор</t>
  </si>
  <si>
    <t>БОЭТ-н нас баралт эмнэлэгт</t>
  </si>
  <si>
    <t>эмнэлэгт хоног болоогүй</t>
  </si>
  <si>
    <t>201.15.1</t>
  </si>
  <si>
    <t>үйлдлийн онош харах</t>
  </si>
  <si>
    <t>кесар</t>
  </si>
  <si>
    <t>мэс засал</t>
  </si>
  <si>
    <t>мухар олгой</t>
  </si>
  <si>
    <t>арьс арьсан доорх</t>
  </si>
  <si>
    <t>цөсний</t>
  </si>
  <si>
    <t>хугарал</t>
  </si>
  <si>
    <t>СТ-2</t>
  </si>
  <si>
    <t>Төрөлтийн бааз-СТ-4</t>
  </si>
  <si>
    <t xml:space="preserve">Тайлан ирүүлсэн байгууллагын тоо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</si>
</sst>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_-* #,##0.00_₮_-;\-* #,##0.00_₮_-;_-* &quot;-&quot;??_₮_-;_-@_-"/>
    <numFmt numFmtId="167" formatCode="_-* #,##0.0_₮_-;\-* #,##0.0_₮_-;_-* &quot;-&quot;??_₮_-;_-@_-"/>
  </numFmts>
  <fonts count="2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Mon"/>
      <charset val="1"/>
    </font>
    <font>
      <sz val="11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sz val="8"/>
      <name val="Calibri"/>
      <family val="2"/>
      <charset val="1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rgb="FFFF0000"/>
      <name val="Calibri"/>
      <family val="2"/>
      <scheme val="minor"/>
    </font>
    <font>
      <sz val="7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Tahoma"/>
      <family val="2"/>
      <charset val="204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 Mon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8"/>
      <color rgb="FF000000"/>
      <name val="Arial"/>
      <family val="2"/>
    </font>
    <font>
      <sz val="8"/>
      <color indexed="8"/>
      <name val="Tahoma"/>
    </font>
  </fonts>
  <fills count="21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C7E2F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</fills>
  <borders count="25">
    <border>
      <left/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59A9F2"/>
      </left>
      <right style="medium">
        <color rgb="FF59A9F2"/>
      </right>
      <top style="medium">
        <color rgb="FF59A9F2"/>
      </top>
      <bottom/>
      <diagonal/>
    </border>
    <border>
      <left style="medium">
        <color rgb="FF59A9F2"/>
      </left>
      <right style="medium">
        <color rgb="FF59A9F2"/>
      </right>
      <top/>
      <bottom style="medium">
        <color rgb="FF59A9F2"/>
      </bottom>
      <diagonal/>
    </border>
    <border>
      <left/>
      <right style="medium">
        <color rgb="FF59A9F2"/>
      </right>
      <top style="medium">
        <color rgb="FF59A9F2"/>
      </top>
      <bottom style="medium">
        <color rgb="FF59A9F2"/>
      </bottom>
      <diagonal/>
    </border>
    <border>
      <left/>
      <right style="medium">
        <color rgb="FF59A9F2"/>
      </right>
      <top/>
      <bottom style="medium">
        <color rgb="FF59A9F2"/>
      </bottom>
      <diagonal/>
    </border>
    <border>
      <left style="medium">
        <color rgb="FF59A9F2"/>
      </left>
      <right/>
      <top style="medium">
        <color rgb="FF59A9F2"/>
      </top>
      <bottom style="medium">
        <color rgb="FF59A9F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166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24" fillId="0" borderId="0"/>
  </cellStyleXfs>
  <cellXfs count="17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164" fontId="0" fillId="0" borderId="0" xfId="0" applyNumberFormat="1"/>
    <xf numFmtId="0" fontId="5" fillId="0" borderId="0" xfId="1"/>
    <xf numFmtId="0" fontId="5" fillId="0" borderId="0" xfId="0" applyFont="1"/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6" borderId="0" xfId="0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164" fontId="0" fillId="4" borderId="0" xfId="0" applyNumberFormat="1" applyFill="1" applyAlignment="1">
      <alignment vertical="center"/>
    </xf>
    <xf numFmtId="164" fontId="0" fillId="5" borderId="0" xfId="0" applyNumberFormat="1" applyFill="1" applyAlignment="1">
      <alignment vertical="center"/>
    </xf>
    <xf numFmtId="164" fontId="0" fillId="6" borderId="0" xfId="0" applyNumberFormat="1" applyFill="1" applyAlignment="1">
      <alignment vertical="center"/>
    </xf>
    <xf numFmtId="164" fontId="0" fillId="5" borderId="0" xfId="0" applyNumberFormat="1" applyFill="1"/>
    <xf numFmtId="164" fontId="5" fillId="0" borderId="0" xfId="0" applyNumberFormat="1" applyFont="1"/>
    <xf numFmtId="0" fontId="5" fillId="0" borderId="0" xfId="0" applyFont="1" applyAlignment="1">
      <alignment horizontal="center"/>
    </xf>
    <xf numFmtId="0" fontId="5" fillId="7" borderId="0" xfId="0" applyFont="1" applyFill="1"/>
    <xf numFmtId="0" fontId="5" fillId="7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9" borderId="0" xfId="0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0" fontId="5" fillId="10" borderId="0" xfId="0" applyFont="1" applyFill="1"/>
    <xf numFmtId="0" fontId="5" fillId="5" borderId="0" xfId="0" applyFont="1" applyFill="1" applyAlignment="1">
      <alignment vertical="center" wrapText="1"/>
    </xf>
    <xf numFmtId="0" fontId="5" fillId="5" borderId="0" xfId="0" applyFont="1" applyFill="1"/>
    <xf numFmtId="0" fontId="5" fillId="7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" fontId="0" fillId="4" borderId="0" xfId="0" applyNumberFormat="1" applyFill="1"/>
    <xf numFmtId="1" fontId="0" fillId="5" borderId="0" xfId="0" applyNumberFormat="1" applyFill="1"/>
    <xf numFmtId="16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11" borderId="11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vertical="top" wrapText="1"/>
    </xf>
    <xf numFmtId="0" fontId="6" fillId="11" borderId="0" xfId="0" applyFont="1" applyFill="1" applyAlignment="1">
      <alignment horizontal="center" vertical="top" wrapText="1"/>
    </xf>
    <xf numFmtId="0" fontId="6" fillId="11" borderId="13" xfId="0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64" fontId="5" fillId="12" borderId="0" xfId="0" applyNumberFormat="1" applyFont="1" applyFill="1" applyAlignment="1">
      <alignment horizontal="center" vertical="center" wrapText="1"/>
    </xf>
    <xf numFmtId="1" fontId="5" fillId="9" borderId="0" xfId="0" applyNumberFormat="1" applyFont="1" applyFill="1" applyAlignment="1">
      <alignment horizontal="center" vertical="center" wrapText="1"/>
    </xf>
    <xf numFmtId="1" fontId="5" fillId="0" borderId="0" xfId="0" applyNumberFormat="1" applyFont="1"/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164" fontId="0" fillId="4" borderId="0" xfId="0" applyNumberFormat="1" applyFill="1"/>
    <xf numFmtId="164" fontId="0" fillId="6" borderId="0" xfId="0" applyNumberFormat="1" applyFill="1"/>
    <xf numFmtId="0" fontId="5" fillId="6" borderId="0" xfId="0" applyFont="1" applyFill="1"/>
    <xf numFmtId="164" fontId="5" fillId="6" borderId="0" xfId="0" applyNumberFormat="1" applyFont="1" applyFill="1"/>
    <xf numFmtId="0" fontId="5" fillId="0" borderId="0" xfId="0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 wrapText="1"/>
    </xf>
    <xf numFmtId="167" fontId="5" fillId="9" borderId="0" xfId="2" applyNumberFormat="1" applyFont="1" applyFill="1"/>
    <xf numFmtId="164" fontId="5" fillId="9" borderId="0" xfId="0" applyNumberFormat="1" applyFont="1" applyFill="1"/>
    <xf numFmtId="167" fontId="5" fillId="9" borderId="0" xfId="2" applyNumberFormat="1" applyFont="1" applyFill="1" applyAlignment="1">
      <alignment vertical="center"/>
    </xf>
    <xf numFmtId="164" fontId="5" fillId="9" borderId="0" xfId="0" applyNumberFormat="1" applyFont="1" applyFill="1" applyAlignment="1">
      <alignment vertical="center"/>
    </xf>
    <xf numFmtId="0" fontId="8" fillId="0" borderId="10" xfId="1" applyFont="1" applyBorder="1" applyAlignment="1">
      <alignment horizontal="right"/>
    </xf>
    <xf numFmtId="0" fontId="0" fillId="0" borderId="10" xfId="0" applyBorder="1"/>
    <xf numFmtId="0" fontId="9" fillId="0" borderId="0" xfId="0" applyFont="1"/>
    <xf numFmtId="164" fontId="0" fillId="8" borderId="10" xfId="0" applyNumberFormat="1" applyFill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center"/>
    </xf>
    <xf numFmtId="0" fontId="11" fillId="0" borderId="0" xfId="0" applyFont="1"/>
    <xf numFmtId="0" fontId="5" fillId="13" borderId="0" xfId="0" applyFont="1" applyFill="1"/>
    <xf numFmtId="0" fontId="5" fillId="8" borderId="0" xfId="0" applyFont="1" applyFill="1"/>
    <xf numFmtId="0" fontId="13" fillId="0" borderId="0" xfId="0" applyFont="1" applyAlignment="1">
      <alignment horizontal="center" vertical="center" wrapText="1"/>
    </xf>
    <xf numFmtId="0" fontId="5" fillId="14" borderId="0" xfId="0" applyFont="1" applyFill="1" applyAlignment="1">
      <alignment vertical="center" wrapText="1"/>
    </xf>
    <xf numFmtId="164" fontId="5" fillId="14" borderId="0" xfId="0" applyNumberFormat="1" applyFont="1" applyFill="1" applyAlignment="1">
      <alignment vertical="center"/>
    </xf>
    <xf numFmtId="0" fontId="5" fillId="14" borderId="0" xfId="0" applyFont="1" applyFill="1" applyAlignment="1">
      <alignment horizontal="center" vertical="center"/>
    </xf>
    <xf numFmtId="164" fontId="5" fillId="14" borderId="0" xfId="0" applyNumberFormat="1" applyFont="1" applyFill="1" applyAlignment="1">
      <alignment horizontal="center" vertical="center"/>
    </xf>
    <xf numFmtId="0" fontId="5" fillId="14" borderId="0" xfId="0" applyFont="1" applyFill="1" applyAlignment="1">
      <alignment horizontal="center"/>
    </xf>
    <xf numFmtId="0" fontId="5" fillId="0" borderId="10" xfId="0" applyFont="1" applyBorder="1" applyAlignment="1">
      <alignment vertical="center" wrapText="1"/>
    </xf>
    <xf numFmtId="164" fontId="12" fillId="0" borderId="10" xfId="0" applyNumberFormat="1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vertical="center" wrapText="1"/>
    </xf>
    <xf numFmtId="0" fontId="13" fillId="7" borderId="0" xfId="0" applyFont="1" applyFill="1"/>
    <xf numFmtId="0" fontId="5" fillId="0" borderId="0" xfId="1" applyAlignment="1">
      <alignment horizontal="center" textRotation="90" wrapText="1"/>
    </xf>
    <xf numFmtId="0" fontId="14" fillId="0" borderId="0" xfId="1" applyFont="1" applyAlignment="1">
      <alignment horizontal="center" vertical="center"/>
    </xf>
    <xf numFmtId="0" fontId="15" fillId="0" borderId="10" xfId="1" applyFont="1" applyBorder="1" applyAlignment="1">
      <alignment horizontal="center" wrapText="1"/>
    </xf>
    <xf numFmtId="0" fontId="15" fillId="0" borderId="0" xfId="0" applyFont="1"/>
    <xf numFmtId="164" fontId="15" fillId="0" borderId="0" xfId="0" applyNumberFormat="1" applyFont="1"/>
    <xf numFmtId="0" fontId="15" fillId="0" borderId="10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 wrapText="1"/>
    </xf>
    <xf numFmtId="164" fontId="15" fillId="15" borderId="10" xfId="0" applyNumberFormat="1" applyFont="1" applyFill="1" applyBorder="1"/>
    <xf numFmtId="0" fontId="15" fillId="0" borderId="14" xfId="0" applyFont="1" applyBorder="1" applyAlignment="1">
      <alignment horizontal="center"/>
    </xf>
    <xf numFmtId="164" fontId="15" fillId="0" borderId="10" xfId="0" applyNumberFormat="1" applyFont="1" applyBorder="1"/>
    <xf numFmtId="0" fontId="14" fillId="16" borderId="10" xfId="1" applyFont="1" applyFill="1" applyBorder="1" applyAlignment="1">
      <alignment horizontal="center" vertical="center"/>
    </xf>
    <xf numFmtId="0" fontId="5" fillId="17" borderId="10" xfId="1" applyFill="1" applyBorder="1" applyAlignment="1">
      <alignment horizontal="center" wrapText="1"/>
    </xf>
    <xf numFmtId="0" fontId="0" fillId="0" borderId="0" xfId="0" applyAlignment="1">
      <alignment horizontal="left"/>
    </xf>
    <xf numFmtId="0" fontId="16" fillId="0" borderId="0" xfId="0" applyFont="1"/>
    <xf numFmtId="0" fontId="14" fillId="0" borderId="0" xfId="1" applyFont="1" applyAlignment="1">
      <alignment horizontal="right" vertical="center"/>
    </xf>
    <xf numFmtId="0" fontId="12" fillId="0" borderId="10" xfId="0" applyFont="1" applyBorder="1" applyAlignment="1">
      <alignment horizontal="center"/>
    </xf>
    <xf numFmtId="0" fontId="0" fillId="14" borderId="0" xfId="0" applyFill="1"/>
    <xf numFmtId="164" fontId="0" fillId="14" borderId="0" xfId="0" applyNumberFormat="1" applyFill="1"/>
    <xf numFmtId="0" fontId="0" fillId="0" borderId="0" xfId="0" applyAlignment="1">
      <alignment wrapText="1"/>
    </xf>
    <xf numFmtId="0" fontId="5" fillId="14" borderId="0" xfId="0" applyFont="1" applyFill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16" xfId="0" applyBorder="1" applyAlignment="1">
      <alignment wrapText="1"/>
    </xf>
    <xf numFmtId="0" fontId="17" fillId="0" borderId="10" xfId="3" applyFont="1" applyBorder="1" applyAlignment="1">
      <alignment vertical="center"/>
    </xf>
    <xf numFmtId="164" fontId="0" fillId="18" borderId="0" xfId="0" applyNumberFormat="1" applyFill="1"/>
    <xf numFmtId="164" fontId="5" fillId="19" borderId="0" xfId="0" applyNumberFormat="1" applyFont="1" applyFill="1" applyAlignment="1">
      <alignment horizontal="center" vertical="center" wrapText="1"/>
    </xf>
    <xf numFmtId="164" fontId="5" fillId="14" borderId="0" xfId="0" applyNumberFormat="1" applyFont="1" applyFill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0" borderId="10" xfId="1" applyFont="1" applyBorder="1" applyAlignment="1">
      <alignment horizontal="right" vertical="center"/>
    </xf>
    <xf numFmtId="164" fontId="12" fillId="14" borderId="10" xfId="0" applyNumberFormat="1" applyFont="1" applyFill="1" applyBorder="1"/>
    <xf numFmtId="0" fontId="5" fillId="17" borderId="17" xfId="1" applyFill="1" applyBorder="1" applyAlignment="1">
      <alignment horizontal="center" wrapText="1"/>
    </xf>
    <xf numFmtId="0" fontId="19" fillId="0" borderId="17" xfId="1" applyFont="1" applyBorder="1" applyAlignment="1">
      <alignment horizontal="right" vertical="center"/>
    </xf>
    <xf numFmtId="0" fontId="20" fillId="20" borderId="18" xfId="0" applyFont="1" applyFill="1" applyBorder="1" applyAlignment="1">
      <alignment horizontal="right" vertical="center"/>
    </xf>
    <xf numFmtId="0" fontId="5" fillId="17" borderId="19" xfId="0" applyFont="1" applyFill="1" applyBorder="1" applyAlignment="1">
      <alignment horizontal="center" textRotation="90" wrapText="1"/>
    </xf>
    <xf numFmtId="0" fontId="5" fillId="17" borderId="10" xfId="0" applyFont="1" applyFill="1" applyBorder="1" applyAlignment="1">
      <alignment horizontal="center" textRotation="90" wrapText="1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5" fillId="0" borderId="0" xfId="1" applyAlignment="1">
      <alignment horizontal="right"/>
    </xf>
    <xf numFmtId="164" fontId="5" fillId="14" borderId="0" xfId="0" applyNumberFormat="1" applyFont="1" applyFill="1"/>
    <xf numFmtId="164" fontId="0" fillId="0" borderId="10" xfId="0" applyNumberFormat="1" applyBorder="1"/>
    <xf numFmtId="164" fontId="12" fillId="8" borderId="10" xfId="0" applyNumberFormat="1" applyFont="1" applyFill="1" applyBorder="1"/>
    <xf numFmtId="0" fontId="21" fillId="18" borderId="10" xfId="0" applyFont="1" applyFill="1" applyBorder="1" applyAlignment="1">
      <alignment horizontal="left" vertical="center"/>
    </xf>
    <xf numFmtId="0" fontId="5" fillId="0" borderId="0" xfId="5" applyFont="1"/>
    <xf numFmtId="0" fontId="22" fillId="0" borderId="0" xfId="5" applyFont="1" applyAlignment="1">
      <alignment horizontal="center" vertical="center" wrapText="1"/>
    </xf>
    <xf numFmtId="0" fontId="22" fillId="0" borderId="23" xfId="5" applyFont="1" applyBorder="1" applyAlignment="1">
      <alignment horizontal="center" vertical="center" wrapText="1"/>
    </xf>
    <xf numFmtId="0" fontId="23" fillId="0" borderId="24" xfId="5" applyFont="1" applyBorder="1" applyAlignment="1">
      <alignment horizontal="left" vertical="center" wrapText="1"/>
    </xf>
    <xf numFmtId="0" fontId="24" fillId="0" borderId="0" xfId="6" applyAlignment="1">
      <alignment horizontal="center"/>
    </xf>
    <xf numFmtId="164" fontId="23" fillId="0" borderId="24" xfId="5" applyNumberFormat="1" applyFont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23" fillId="0" borderId="0" xfId="5" applyFont="1" applyAlignment="1">
      <alignment horizontal="left" vertical="center" wrapText="1"/>
    </xf>
    <xf numFmtId="164" fontId="23" fillId="0" borderId="0" xfId="5" applyNumberFormat="1" applyFont="1" applyAlignment="1">
      <alignment horizontal="center" vertical="center" wrapText="1"/>
    </xf>
    <xf numFmtId="0" fontId="23" fillId="0" borderId="12" xfId="5" applyFont="1" applyBorder="1" applyAlignment="1">
      <alignment horizontal="left" vertical="center" wrapText="1"/>
    </xf>
    <xf numFmtId="0" fontId="24" fillId="0" borderId="12" xfId="6" applyBorder="1" applyAlignment="1">
      <alignment horizontal="center"/>
    </xf>
    <xf numFmtId="164" fontId="23" fillId="0" borderId="12" xfId="5" applyNumberFormat="1" applyFont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/>
    <xf numFmtId="164" fontId="12" fillId="18" borderId="10" xfId="0" applyNumberFormat="1" applyFont="1" applyFill="1" applyBorder="1"/>
    <xf numFmtId="0" fontId="27" fillId="16" borderId="18" xfId="0" applyFont="1" applyFill="1" applyBorder="1" applyAlignment="1">
      <alignment horizontal="center" vertical="center"/>
    </xf>
    <xf numFmtId="2" fontId="0" fillId="0" borderId="0" xfId="0" applyNumberFormat="1"/>
    <xf numFmtId="0" fontId="28" fillId="8" borderId="1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8" fillId="0" borderId="10" xfId="3" applyFont="1" applyBorder="1" applyAlignment="1">
      <alignment horizontal="center" textRotation="90" wrapText="1"/>
    </xf>
    <xf numFmtId="16" fontId="18" fillId="0" borderId="10" xfId="3" applyNumberFormat="1" applyFont="1" applyBorder="1" applyAlignment="1">
      <alignment horizontal="center" textRotation="90" wrapText="1"/>
    </xf>
    <xf numFmtId="0" fontId="18" fillId="0" borderId="10" xfId="3" applyFont="1" applyBorder="1" applyAlignment="1">
      <alignment horizontal="center" textRotation="90"/>
    </xf>
    <xf numFmtId="0" fontId="4" fillId="0" borderId="10" xfId="4" applyFont="1" applyBorder="1" applyAlignment="1">
      <alignment horizontal="center" textRotation="90" wrapText="1"/>
    </xf>
    <xf numFmtId="0" fontId="6" fillId="11" borderId="11" xfId="0" applyFont="1" applyFill="1" applyBorder="1" applyAlignment="1">
      <alignment horizontal="center" vertical="center" wrapText="1"/>
    </xf>
    <xf numFmtId="0" fontId="6" fillId="11" borderId="1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5" fillId="0" borderId="20" xfId="1" applyBorder="1" applyAlignment="1">
      <alignment horizontal="left" vertical="center" wrapText="1"/>
    </xf>
    <xf numFmtId="0" fontId="5" fillId="0" borderId="19" xfId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21" xfId="0" applyBorder="1" applyAlignment="1">
      <alignment horizontal="center"/>
    </xf>
    <xf numFmtId="0" fontId="5" fillId="12" borderId="10" xfId="1" applyFill="1" applyBorder="1" applyAlignment="1">
      <alignment horizontal="center" wrapText="1"/>
    </xf>
    <xf numFmtId="0" fontId="22" fillId="0" borderId="11" xfId="5" applyFont="1" applyBorder="1" applyAlignment="1">
      <alignment horizontal="center" vertical="center" wrapText="1"/>
    </xf>
    <xf numFmtId="0" fontId="22" fillId="0" borderId="0" xfId="5" applyFont="1" applyAlignment="1">
      <alignment horizontal="center" vertical="center" wrapText="1"/>
    </xf>
    <xf numFmtId="0" fontId="22" fillId="0" borderId="22" xfId="5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7">
    <cellStyle name="Comma 2" xfId="2" xr:uid="{387449E6-61CB-4699-9380-797F9A2B1E77}"/>
    <cellStyle name="Normal" xfId="0" builtinId="0"/>
    <cellStyle name="Normal 2" xfId="5" xr:uid="{05346166-C6B8-4056-B5A3-C51F154ED73E}"/>
    <cellStyle name="Normal 2 11" xfId="1" xr:uid="{30EDF096-480C-4AE7-B4F4-52050ECBE522}"/>
    <cellStyle name="Normal 22 6" xfId="4" xr:uid="{2BA72D48-B262-4880-BB6C-ABC5C3C7670A}"/>
    <cellStyle name="Normal 22 9" xfId="3" xr:uid="{8DA64F99-1D64-4407-AA2B-02C2D4AF0D78}"/>
    <cellStyle name="Normal 4" xfId="6" xr:uid="{78B09128-DBCB-4CB5-A511-D4C7CFB2F4F5}"/>
  </cellStyles>
  <dxfs count="0"/>
  <tableStyles count="0" defaultTableStyle="TableStyleMedium2" defaultPivotStyle="PivotStyleLight16"/>
  <colors>
    <mruColors>
      <color rgb="FF187AF0"/>
      <color rgb="FF0418AC"/>
      <color rgb="FF184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'[1]BOET ajillagsad'!$C$4:$C$5</c:f>
              <c:strCache>
                <c:ptCount val="1"/>
                <c:pt idx="0">
                  <c:v>Их эмч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'[1]BOET ajillagsad'!$A$10:$A$19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'[1]BOET ajillagsad'!$C$10:$C$19</c:f>
              <c:numCache>
                <c:formatCode>General</c:formatCode>
                <c:ptCount val="10"/>
                <c:pt idx="0">
                  <c:v>430</c:v>
                </c:pt>
                <c:pt idx="1">
                  <c:v>449</c:v>
                </c:pt>
                <c:pt idx="2">
                  <c:v>449</c:v>
                </c:pt>
                <c:pt idx="3">
                  <c:v>457</c:v>
                </c:pt>
                <c:pt idx="4">
                  <c:v>481</c:v>
                </c:pt>
                <c:pt idx="5">
                  <c:v>522</c:v>
                </c:pt>
                <c:pt idx="6">
                  <c:v>514</c:v>
                </c:pt>
                <c:pt idx="7">
                  <c:v>511</c:v>
                </c:pt>
                <c:pt idx="8">
                  <c:v>532</c:v>
                </c:pt>
                <c:pt idx="9">
                  <c:v>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4B-46B6-A065-E646817BFD14}"/>
            </c:ext>
          </c:extLst>
        </c:ser>
        <c:ser>
          <c:idx val="2"/>
          <c:order val="2"/>
          <c:tx>
            <c:strRef>
              <c:f>'[1]BOET ajillagsad'!$D$4:$D$5</c:f>
              <c:strCache>
                <c:ptCount val="1"/>
                <c:pt idx="0">
                  <c:v>Сувилагч</c:v>
                </c:pt>
              </c:strCache>
            </c:strRef>
          </c:tx>
          <c:spPr>
            <a:gradFill flip="none" rotWithShape="1">
              <a:gsLst>
                <a:gs pos="0">
                  <a:srgbClr val="00B0F0">
                    <a:shade val="30000"/>
                    <a:satMod val="115000"/>
                  </a:srgbClr>
                </a:gs>
                <a:gs pos="100000">
                  <a:srgbClr val="93E0FF"/>
                </a:gs>
                <a:gs pos="0">
                  <a:srgbClr val="00B0F0">
                    <a:shade val="100000"/>
                    <a:satMod val="115000"/>
                  </a:srgbClr>
                </a:gs>
              </a:gsLst>
              <a:lin ang="16200000" scaled="1"/>
              <a:tileRect/>
            </a:gradFill>
            <a:ln w="25400"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'[1]BOET ajillagsad'!$A$10:$A$19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'[1]BOET ajillagsad'!$D$10:$D$19</c:f>
              <c:numCache>
                <c:formatCode>General</c:formatCode>
                <c:ptCount val="10"/>
                <c:pt idx="0">
                  <c:v>690</c:v>
                </c:pt>
                <c:pt idx="1">
                  <c:v>694</c:v>
                </c:pt>
                <c:pt idx="2">
                  <c:v>706</c:v>
                </c:pt>
                <c:pt idx="3">
                  <c:v>714</c:v>
                </c:pt>
                <c:pt idx="4">
                  <c:v>730</c:v>
                </c:pt>
                <c:pt idx="5">
                  <c:v>747</c:v>
                </c:pt>
                <c:pt idx="6">
                  <c:v>766</c:v>
                </c:pt>
                <c:pt idx="7">
                  <c:v>793</c:v>
                </c:pt>
                <c:pt idx="8">
                  <c:v>792</c:v>
                </c:pt>
                <c:pt idx="9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4B-46B6-A065-E646817BF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148009200"/>
        <c:axId val="1"/>
      </c:barChart>
      <c:lineChart>
        <c:grouping val="stacked"/>
        <c:varyColors val="0"/>
        <c:ser>
          <c:idx val="0"/>
          <c:order val="0"/>
          <c:tx>
            <c:strRef>
              <c:f>'[1]BOET ajillagsad'!$B$4:$B$5</c:f>
              <c:strCache>
                <c:ptCount val="1"/>
                <c:pt idx="0">
                  <c:v>Нийт ажиллагчид
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 w="3175" cap="rnd">
                <a:solidFill>
                  <a:schemeClr val="accent1"/>
                </a:solidFill>
                <a:prstDash val="sysDot"/>
              </a:ln>
              <a:effectLst/>
            </c:spPr>
          </c:marker>
          <c:dPt>
            <c:idx val="9"/>
            <c:bubble3D val="0"/>
            <c:spPr>
              <a:ln w="6350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4B-46B6-A065-E646817BFD14}"/>
              </c:ext>
            </c:extLst>
          </c:dPt>
          <c:dLbls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'[1]BOET ajillagsad'!$A$10:$A$19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'[1]BOET ajillagsad'!$B$10:$B$19</c:f>
              <c:numCache>
                <c:formatCode>General</c:formatCode>
                <c:ptCount val="10"/>
                <c:pt idx="0">
                  <c:v>1680</c:v>
                </c:pt>
                <c:pt idx="1">
                  <c:v>1926</c:v>
                </c:pt>
                <c:pt idx="2">
                  <c:v>1945</c:v>
                </c:pt>
                <c:pt idx="3">
                  <c:v>1957</c:v>
                </c:pt>
                <c:pt idx="4">
                  <c:v>2050</c:v>
                </c:pt>
                <c:pt idx="5">
                  <c:v>2090</c:v>
                </c:pt>
                <c:pt idx="6">
                  <c:v>2112</c:v>
                </c:pt>
                <c:pt idx="7">
                  <c:v>2164</c:v>
                </c:pt>
                <c:pt idx="8">
                  <c:v>2184</c:v>
                </c:pt>
                <c:pt idx="9">
                  <c:v>2247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4B-46B6-A065-E646817BF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800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80092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'4.36'!$C$38</c:f>
              <c:strCache>
                <c:ptCount val="1"/>
                <c:pt idx="0">
                  <c:v>Хэвтэн эмчлүүлэгчдийн хувь</c:v>
                </c:pt>
              </c:strCache>
            </c:strRef>
          </c:tx>
          <c:spPr>
            <a:solidFill>
              <a:srgbClr val="187AF0"/>
            </a:solidFill>
            <a:ln>
              <a:solidFill>
                <a:srgbClr val="187AF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'4.36'!$A$39:$A$59</c:f>
              <c:strCache>
                <c:ptCount val="21"/>
                <c:pt idx="0">
                  <c:v>Нүд</c:v>
                </c:pt>
                <c:pt idx="1">
                  <c:v>Уролог</c:v>
                </c:pt>
                <c:pt idx="2">
                  <c:v>Сүрьеэ</c:v>
                </c:pt>
                <c:pt idx="3">
                  <c:v>Эрүү нүүр</c:v>
                </c:pt>
                <c:pt idx="4">
                  <c:v>Эрчимт эмчилгээ, сэхээн амьдруулах</c:v>
                </c:pt>
                <c:pt idx="5">
                  <c:v>Хавдар</c:v>
                </c:pt>
                <c:pt idx="6">
                  <c:v>Чих, хамар хоолой</c:v>
                </c:pt>
                <c:pt idx="7">
                  <c:v>Нефролог</c:v>
                </c:pt>
                <c:pt idx="8">
                  <c:v>Арьс харшил</c:v>
                </c:pt>
                <c:pt idx="9">
                  <c:v>Хөнгөвчлөх эмчилгээ</c:v>
                </c:pt>
                <c:pt idx="10">
                  <c:v>Халдварт</c:v>
                </c:pt>
                <c:pt idx="11">
                  <c:v>Бусад</c:v>
                </c:pt>
                <c:pt idx="12">
                  <c:v>Уламжлалт эмчилгээ</c:v>
                </c:pt>
                <c:pt idx="13">
                  <c:v>Сэтгэц</c:v>
                </c:pt>
                <c:pt idx="14">
                  <c:v>Мэдрэл</c:v>
                </c:pt>
                <c:pt idx="15">
                  <c:v>Эмэгтэйчүүд</c:v>
                </c:pt>
                <c:pt idx="16">
                  <c:v>Гэмтэл</c:v>
                </c:pt>
                <c:pt idx="17">
                  <c:v>Мэс засал</c:v>
                </c:pt>
                <c:pt idx="18">
                  <c:v>Дотор</c:v>
                </c:pt>
                <c:pt idx="19">
                  <c:v>Төрөх</c:v>
                </c:pt>
                <c:pt idx="20">
                  <c:v>Хүүхэд</c:v>
                </c:pt>
              </c:strCache>
            </c:strRef>
          </c:cat>
          <c:val>
            <c:numRef>
              <c:f>'4.36'!$C$39:$C$59</c:f>
              <c:numCache>
                <c:formatCode>0.0</c:formatCode>
                <c:ptCount val="21"/>
                <c:pt idx="0">
                  <c:v>0.48014277930016031</c:v>
                </c:pt>
                <c:pt idx="1">
                  <c:v>0.533842958563994</c:v>
                </c:pt>
                <c:pt idx="2">
                  <c:v>0.59070197190217089</c:v>
                </c:pt>
                <c:pt idx="3">
                  <c:v>0.63571535746156094</c:v>
                </c:pt>
                <c:pt idx="4">
                  <c:v>0.76917609710255941</c:v>
                </c:pt>
                <c:pt idx="5">
                  <c:v>1.3148646834453404</c:v>
                </c:pt>
                <c:pt idx="6">
                  <c:v>1.725513113109951</c:v>
                </c:pt>
                <c:pt idx="7">
                  <c:v>1.7784235838551989</c:v>
                </c:pt>
                <c:pt idx="8">
                  <c:v>2.0500833142487109</c:v>
                </c:pt>
                <c:pt idx="9">
                  <c:v>2.5902439409613911</c:v>
                </c:pt>
                <c:pt idx="10">
                  <c:v>3.654771024015036</c:v>
                </c:pt>
                <c:pt idx="11">
                  <c:v>3.8379834003269395</c:v>
                </c:pt>
                <c:pt idx="12">
                  <c:v>3.9161645436669326</c:v>
                </c:pt>
                <c:pt idx="13">
                  <c:v>4.5597769863143514</c:v>
                </c:pt>
                <c:pt idx="14">
                  <c:v>5.3763355945320583</c:v>
                </c:pt>
                <c:pt idx="15">
                  <c:v>5.8643754590180768</c:v>
                </c:pt>
                <c:pt idx="16">
                  <c:v>7.4619557921171298</c:v>
                </c:pt>
                <c:pt idx="17">
                  <c:v>9.5902202497058333</c:v>
                </c:pt>
                <c:pt idx="18">
                  <c:v>12.317873472901152</c:v>
                </c:pt>
                <c:pt idx="19">
                  <c:v>12.745105781456065</c:v>
                </c:pt>
                <c:pt idx="20">
                  <c:v>18.206729895995387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D-4E41-996F-F6BD43ED0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2436128"/>
        <c:axId val="2042439008"/>
      </c:barChart>
      <c:lineChart>
        <c:grouping val="standard"/>
        <c:varyColors val="0"/>
        <c:ser>
          <c:idx val="1"/>
          <c:order val="1"/>
          <c:tx>
            <c:strRef>
              <c:f>'4.36'!$E$38</c:f>
              <c:strCache>
                <c:ptCount val="1"/>
                <c:pt idx="0">
                  <c:v>Дундаж ор хоног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'4.36'!$A$39:$A$59</c:f>
              <c:strCache>
                <c:ptCount val="21"/>
                <c:pt idx="0">
                  <c:v>Нүд</c:v>
                </c:pt>
                <c:pt idx="1">
                  <c:v>Уролог</c:v>
                </c:pt>
                <c:pt idx="2">
                  <c:v>Сүрьеэ</c:v>
                </c:pt>
                <c:pt idx="3">
                  <c:v>Эрүү нүүр</c:v>
                </c:pt>
                <c:pt idx="4">
                  <c:v>Эрчимт эмчилгээ, сэхээн амьдруулах</c:v>
                </c:pt>
                <c:pt idx="5">
                  <c:v>Хавдар</c:v>
                </c:pt>
                <c:pt idx="6">
                  <c:v>Чих, хамар хоолой</c:v>
                </c:pt>
                <c:pt idx="7">
                  <c:v>Нефролог</c:v>
                </c:pt>
                <c:pt idx="8">
                  <c:v>Арьс харшил</c:v>
                </c:pt>
                <c:pt idx="9">
                  <c:v>Хөнгөвчлөх эмчилгээ</c:v>
                </c:pt>
                <c:pt idx="10">
                  <c:v>Халдварт</c:v>
                </c:pt>
                <c:pt idx="11">
                  <c:v>Бусад</c:v>
                </c:pt>
                <c:pt idx="12">
                  <c:v>Уламжлалт эмчилгээ</c:v>
                </c:pt>
                <c:pt idx="13">
                  <c:v>Сэтгэц</c:v>
                </c:pt>
                <c:pt idx="14">
                  <c:v>Мэдрэл</c:v>
                </c:pt>
                <c:pt idx="15">
                  <c:v>Эмэгтэйчүүд</c:v>
                </c:pt>
                <c:pt idx="16">
                  <c:v>Гэмтэл</c:v>
                </c:pt>
                <c:pt idx="17">
                  <c:v>Мэс засал</c:v>
                </c:pt>
                <c:pt idx="18">
                  <c:v>Дотор</c:v>
                </c:pt>
                <c:pt idx="19">
                  <c:v>Төрөх</c:v>
                </c:pt>
                <c:pt idx="20">
                  <c:v>Хүүхэд</c:v>
                </c:pt>
              </c:strCache>
            </c:strRef>
          </c:cat>
          <c:val>
            <c:numRef>
              <c:f>'4.36'!$E$39:$E$59</c:f>
              <c:numCache>
                <c:formatCode>0.0</c:formatCode>
                <c:ptCount val="21"/>
                <c:pt idx="0">
                  <c:v>6.0526315789473681</c:v>
                </c:pt>
                <c:pt idx="1">
                  <c:v>4.6420118343195265</c:v>
                </c:pt>
                <c:pt idx="2">
                  <c:v>26.155080213903744</c:v>
                </c:pt>
                <c:pt idx="3">
                  <c:v>6.3279503105590065</c:v>
                </c:pt>
                <c:pt idx="4">
                  <c:v>12.262833675564682</c:v>
                </c:pt>
                <c:pt idx="5">
                  <c:v>5.248048048048048</c:v>
                </c:pt>
                <c:pt idx="6">
                  <c:v>6.0512585812356976</c:v>
                </c:pt>
                <c:pt idx="7">
                  <c:v>3.2868561278863231</c:v>
                </c:pt>
                <c:pt idx="8">
                  <c:v>7.2950693374422189</c:v>
                </c:pt>
                <c:pt idx="9">
                  <c:v>6.0567073170731707</c:v>
                </c:pt>
                <c:pt idx="10">
                  <c:v>7.3569576490924806</c:v>
                </c:pt>
                <c:pt idx="11">
                  <c:v>7.7164609053497939</c:v>
                </c:pt>
                <c:pt idx="12">
                  <c:v>7.8128654970760234</c:v>
                </c:pt>
                <c:pt idx="13">
                  <c:v>10.540699688257707</c:v>
                </c:pt>
                <c:pt idx="14">
                  <c:v>7.6051703877790837</c:v>
                </c:pt>
                <c:pt idx="15">
                  <c:v>6.6374899003501211</c:v>
                </c:pt>
                <c:pt idx="16">
                  <c:v>7.207958514128479</c:v>
                </c:pt>
                <c:pt idx="17">
                  <c:v>5.3685770750988144</c:v>
                </c:pt>
                <c:pt idx="18">
                  <c:v>7.2446467495832803</c:v>
                </c:pt>
                <c:pt idx="19">
                  <c:v>3.9448540801784495</c:v>
                </c:pt>
                <c:pt idx="20">
                  <c:v>7.8088050314465409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3D-4E41-996F-F6BD43ED0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460128"/>
        <c:axId val="2042478848"/>
      </c:lineChart>
      <c:catAx>
        <c:axId val="204243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2439008"/>
        <c:crosses val="autoZero"/>
        <c:auto val="1"/>
        <c:lblAlgn val="ctr"/>
        <c:lblOffset val="100"/>
        <c:noMultiLvlLbl val="0"/>
      </c:catAx>
      <c:valAx>
        <c:axId val="2042439008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2436128"/>
        <c:crosses val="autoZero"/>
        <c:crossBetween val="between"/>
        <c:majorUnit val="5"/>
        <c:minorUnit val="0.5"/>
      </c:valAx>
      <c:valAx>
        <c:axId val="2042478848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2460128"/>
        <c:crosses val="max"/>
        <c:crossBetween val="between"/>
      </c:valAx>
      <c:catAx>
        <c:axId val="2042460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424788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[1]BOET!$A$78</c:f>
              <c:strCache>
                <c:ptCount val="1"/>
                <c:pt idx="0">
                  <c:v>Дундаж ор хоног</c:v>
                </c:pt>
              </c:strCache>
            </c:strRef>
          </c:tx>
          <c:spPr>
            <a:solidFill>
              <a:srgbClr val="00B0F0"/>
            </a:solidFill>
            <a:ln w="0" cap="rnd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[1]BOET!$F$77:$P$77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10 жил дундаж</c:v>
                </c:pt>
              </c:strCache>
            </c:strRef>
          </c:cat>
          <c:val>
            <c:numRef>
              <c:f>[1]BOET!$F$78:$P$78</c:f>
              <c:numCache>
                <c:formatCode>General</c:formatCode>
                <c:ptCount val="11"/>
                <c:pt idx="0">
                  <c:v>7.6</c:v>
                </c:pt>
                <c:pt idx="1">
                  <c:v>7.6</c:v>
                </c:pt>
                <c:pt idx="2">
                  <c:v>7.5</c:v>
                </c:pt>
                <c:pt idx="3">
                  <c:v>7.2</c:v>
                </c:pt>
                <c:pt idx="4">
                  <c:v>7.2</c:v>
                </c:pt>
                <c:pt idx="5">
                  <c:v>7.1</c:v>
                </c:pt>
                <c:pt idx="6">
                  <c:v>6.9</c:v>
                </c:pt>
                <c:pt idx="7">
                  <c:v>7.5</c:v>
                </c:pt>
                <c:pt idx="8">
                  <c:v>6.9</c:v>
                </c:pt>
                <c:pt idx="9">
                  <c:v>6.9</c:v>
                </c:pt>
                <c:pt idx="10">
                  <c:v>7.24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8-4FC6-877A-F44F2DA2D6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8012528"/>
        <c:axId val="1"/>
      </c:barChart>
      <c:lineChart>
        <c:grouping val="standard"/>
        <c:varyColors val="0"/>
        <c:ser>
          <c:idx val="1"/>
          <c:order val="1"/>
          <c:tx>
            <c:strRef>
              <c:f>[1]BOET!$A$79</c:f>
              <c:strCache>
                <c:ptCount val="1"/>
                <c:pt idx="0">
                  <c:v>Хоног болоогүй нас баралтын хувь</c:v>
                </c:pt>
              </c:strCache>
            </c:strRef>
          </c:tx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[1]BOET!$F$77:$P$77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10 жил дундаж</c:v>
                </c:pt>
              </c:strCache>
            </c:strRef>
          </c:cat>
          <c:val>
            <c:numRef>
              <c:f>[1]BOET!$F$79:$P$79</c:f>
              <c:numCache>
                <c:formatCode>General</c:formatCode>
                <c:ptCount val="11"/>
                <c:pt idx="0">
                  <c:v>30.1</c:v>
                </c:pt>
                <c:pt idx="1">
                  <c:v>29</c:v>
                </c:pt>
                <c:pt idx="2">
                  <c:v>30</c:v>
                </c:pt>
                <c:pt idx="3">
                  <c:v>30.3</c:v>
                </c:pt>
                <c:pt idx="4">
                  <c:v>30.9</c:v>
                </c:pt>
                <c:pt idx="5">
                  <c:v>27.7</c:v>
                </c:pt>
                <c:pt idx="6">
                  <c:v>35.700000000000003</c:v>
                </c:pt>
                <c:pt idx="7">
                  <c:v>22.580645161290324</c:v>
                </c:pt>
                <c:pt idx="8">
                  <c:v>29.863013698630137</c:v>
                </c:pt>
                <c:pt idx="9">
                  <c:v>27.8</c:v>
                </c:pt>
                <c:pt idx="10">
                  <c:v>29.394365885992045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88-4FC6-877A-F44F2DA2D6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7103008"/>
        <c:axId val="637097600"/>
      </c:lineChart>
      <c:catAx>
        <c:axId val="14801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8012528"/>
        <c:crosses val="autoZero"/>
        <c:crossBetween val="between"/>
        <c:majorUnit val="0.5"/>
      </c:valAx>
      <c:valAx>
        <c:axId val="6370976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637103008"/>
        <c:crosses val="max"/>
        <c:crossBetween val="between"/>
        <c:majorUnit val="10"/>
      </c:valAx>
      <c:catAx>
        <c:axId val="637103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70976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'4.37'!$A$4</c:f>
              <c:strCache>
                <c:ptCount val="1"/>
                <c:pt idx="0">
                  <c:v>Дундаж ор хоног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'4.37'!$G$3:$Q$3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'4.37'!$G$4:$Q$4</c:f>
              <c:numCache>
                <c:formatCode>General</c:formatCode>
                <c:ptCount val="11"/>
                <c:pt idx="0">
                  <c:v>7.6</c:v>
                </c:pt>
                <c:pt idx="1">
                  <c:v>7.5</c:v>
                </c:pt>
                <c:pt idx="2">
                  <c:v>7.2</c:v>
                </c:pt>
                <c:pt idx="3">
                  <c:v>7.2</c:v>
                </c:pt>
                <c:pt idx="4">
                  <c:v>7.1</c:v>
                </c:pt>
                <c:pt idx="5">
                  <c:v>6.9</c:v>
                </c:pt>
                <c:pt idx="6" formatCode="0.0">
                  <c:v>7.5</c:v>
                </c:pt>
                <c:pt idx="7" formatCode="0.0">
                  <c:v>6.9</c:v>
                </c:pt>
                <c:pt idx="8" formatCode="0.0">
                  <c:v>6.9</c:v>
                </c:pt>
                <c:pt idx="9" formatCode="0.0">
                  <c:v>6.9</c:v>
                </c:pt>
                <c:pt idx="10" formatCode="0.0">
                  <c:v>7.17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1-425A-9388-EF78B2F23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7"/>
        <c:overlap val="-27"/>
        <c:axId val="608383087"/>
        <c:axId val="608375887"/>
      </c:barChart>
      <c:lineChart>
        <c:grouping val="standard"/>
        <c:varyColors val="0"/>
        <c:ser>
          <c:idx val="1"/>
          <c:order val="1"/>
          <c:tx>
            <c:strRef>
              <c:f>'4.37'!$A$5</c:f>
              <c:strCache>
                <c:ptCount val="1"/>
                <c:pt idx="0">
                  <c:v>Хоног болоогүй нас баралтын хувь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'4.37'!$G$3:$Q$3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'4.37'!$G$5:$Q$5</c:f>
              <c:numCache>
                <c:formatCode>General</c:formatCode>
                <c:ptCount val="11"/>
                <c:pt idx="0">
                  <c:v>29</c:v>
                </c:pt>
                <c:pt idx="1">
                  <c:v>30</c:v>
                </c:pt>
                <c:pt idx="2">
                  <c:v>30.3</c:v>
                </c:pt>
                <c:pt idx="3">
                  <c:v>30.9</c:v>
                </c:pt>
                <c:pt idx="4">
                  <c:v>27.7</c:v>
                </c:pt>
                <c:pt idx="5">
                  <c:v>35.700000000000003</c:v>
                </c:pt>
                <c:pt idx="6" formatCode="0.0">
                  <c:v>22.580645161290324</c:v>
                </c:pt>
                <c:pt idx="7" formatCode="0.0">
                  <c:v>29.863013698630137</c:v>
                </c:pt>
                <c:pt idx="8" formatCode="0.0">
                  <c:v>27.8</c:v>
                </c:pt>
                <c:pt idx="9" formatCode="0.0">
                  <c:v>29.1</c:v>
                </c:pt>
                <c:pt idx="10" formatCode="0.0">
                  <c:v>29.3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D1-425A-9388-EF78B2F23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372047"/>
        <c:axId val="608382127"/>
      </c:lineChart>
      <c:catAx>
        <c:axId val="608383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8375887"/>
        <c:crosses val="autoZero"/>
        <c:auto val="1"/>
        <c:lblAlgn val="ctr"/>
        <c:lblOffset val="100"/>
        <c:noMultiLvlLbl val="0"/>
      </c:catAx>
      <c:valAx>
        <c:axId val="608375887"/>
        <c:scaling>
          <c:orientation val="minMax"/>
          <c:max val="8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8383087"/>
        <c:crosses val="autoZero"/>
        <c:crossBetween val="between"/>
        <c:majorUnit val="0.5"/>
      </c:valAx>
      <c:valAx>
        <c:axId val="60838212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8372047"/>
        <c:crosses val="max"/>
        <c:crossBetween val="between"/>
        <c:majorUnit val="10"/>
      </c:valAx>
      <c:catAx>
        <c:axId val="6083720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3821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[1]BOET!$A$34</c:f>
              <c:strCache>
                <c:ptCount val="1"/>
                <c:pt idx="0">
                  <c:v>Амбулаториор үйлчлүүлэгчдийн тоо /мянга/</c:v>
                </c:pt>
              </c:strCache>
            </c:strRef>
          </c:tx>
          <c:spPr>
            <a:solidFill>
              <a:srgbClr val="0070C0"/>
            </a:solidFill>
            <a:ln w="0"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[1]BOET!$F$33:$P$33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10 жил дундаж</c:v>
                </c:pt>
              </c:strCache>
            </c:strRef>
          </c:cat>
          <c:val>
            <c:numRef>
              <c:f>[1]BOET!$F$34:$P$34</c:f>
              <c:numCache>
                <c:formatCode>General</c:formatCode>
                <c:ptCount val="11"/>
                <c:pt idx="0">
                  <c:v>575.20000000000005</c:v>
                </c:pt>
                <c:pt idx="1">
                  <c:v>556</c:v>
                </c:pt>
                <c:pt idx="2">
                  <c:v>544.29999999999995</c:v>
                </c:pt>
                <c:pt idx="3">
                  <c:v>611.4</c:v>
                </c:pt>
                <c:pt idx="4">
                  <c:v>644.9</c:v>
                </c:pt>
                <c:pt idx="5">
                  <c:v>678.5</c:v>
                </c:pt>
                <c:pt idx="6">
                  <c:v>671.3</c:v>
                </c:pt>
                <c:pt idx="7">
                  <c:v>572.20000000000005</c:v>
                </c:pt>
                <c:pt idx="8">
                  <c:v>896.3</c:v>
                </c:pt>
                <c:pt idx="9">
                  <c:v>1060.7</c:v>
                </c:pt>
                <c:pt idx="10">
                  <c:v>681.08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B5-494E-8D93-0D904793E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-10"/>
        <c:axId val="148007952"/>
        <c:axId val="1"/>
      </c:barChart>
      <c:catAx>
        <c:axId val="14800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007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87AF0"/>
            </a:solidFill>
            <a:ln w="6350">
              <a:solidFill>
                <a:schemeClr val="accent1"/>
              </a:solidFill>
            </a:ln>
            <a:effectLst>
              <a:outerShdw blurRad="50800" dist="114300" dir="5400000" sx="1000" sy="1000" algn="ctr" rotWithShape="0">
                <a:srgbClr val="000000">
                  <a:alpha val="43000"/>
                </a:srgbClr>
              </a:outerShdw>
              <a:softEdge rad="0"/>
            </a:effectLst>
            <a:scene3d>
              <a:camera prst="orthographicFront"/>
              <a:lightRig rig="threePt" dir="t"/>
            </a:scene3d>
            <a:sp3d>
              <a:bevelT w="0" h="127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'4.38'!$G$4:$Q$4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'4.38'!$G$5:$Q$5</c:f>
              <c:numCache>
                <c:formatCode>General</c:formatCode>
                <c:ptCount val="11"/>
                <c:pt idx="0">
                  <c:v>556</c:v>
                </c:pt>
                <c:pt idx="1">
                  <c:v>544.29999999999995</c:v>
                </c:pt>
                <c:pt idx="2">
                  <c:v>611.4</c:v>
                </c:pt>
                <c:pt idx="3">
                  <c:v>644.9</c:v>
                </c:pt>
                <c:pt idx="4">
                  <c:v>678.5</c:v>
                </c:pt>
                <c:pt idx="5">
                  <c:v>671.3</c:v>
                </c:pt>
                <c:pt idx="6">
                  <c:v>572.20000000000005</c:v>
                </c:pt>
                <c:pt idx="7">
                  <c:v>896.3</c:v>
                </c:pt>
                <c:pt idx="8">
                  <c:v>1060.7</c:v>
                </c:pt>
                <c:pt idx="9">
                  <c:v>1034.0999999999999</c:v>
                </c:pt>
                <c:pt idx="10" formatCode="0.0">
                  <c:v>726.96999999999991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9-47BD-AAD9-F4E7A5710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overlap val="9"/>
        <c:axId val="1829351744"/>
        <c:axId val="1829364704"/>
      </c:barChart>
      <c:catAx>
        <c:axId val="182935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9364704"/>
        <c:crosses val="autoZero"/>
        <c:auto val="1"/>
        <c:lblAlgn val="ctr"/>
        <c:lblOffset val="100"/>
        <c:noMultiLvlLbl val="0"/>
      </c:catAx>
      <c:valAx>
        <c:axId val="1829364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9351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>
          <a:alpha val="94000"/>
        </a:schemeClr>
      </a:solidFill>
      <a:round/>
    </a:ln>
    <a:effectLst/>
  </c:spPr>
  <c:txPr>
    <a:bodyPr/>
    <a:lstStyle/>
    <a:p>
      <a:pPr>
        <a:defRPr>
          <a:ln>
            <a:noFill/>
          </a:ln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[1]BOET!$A$62</c:f>
              <c:strCache>
                <c:ptCount val="1"/>
                <c:pt idx="0">
                  <c:v>Эхийн эндэгдэл (100 000 амьд төрөлтөд) </c:v>
                </c:pt>
              </c:strCache>
            </c:strRef>
          </c:tx>
          <c:spPr>
            <a:solidFill>
              <a:srgbClr val="00B0F0"/>
            </a:solidFill>
            <a:ln w="635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[1]BOET!$F$61:$P$61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10 жил дундаж</c:v>
                </c:pt>
              </c:strCache>
            </c:strRef>
          </c:cat>
          <c:val>
            <c:numRef>
              <c:f>[1]BOET!$F$62:$P$62</c:f>
              <c:numCache>
                <c:formatCode>General</c:formatCode>
                <c:ptCount val="11"/>
                <c:pt idx="0">
                  <c:v>31</c:v>
                </c:pt>
                <c:pt idx="1">
                  <c:v>20.7</c:v>
                </c:pt>
                <c:pt idx="2">
                  <c:v>62.7</c:v>
                </c:pt>
                <c:pt idx="3">
                  <c:v>21.9</c:v>
                </c:pt>
                <c:pt idx="4">
                  <c:v>10.4</c:v>
                </c:pt>
                <c:pt idx="5">
                  <c:v>20.2</c:v>
                </c:pt>
                <c:pt idx="6">
                  <c:v>10.3</c:v>
                </c:pt>
                <c:pt idx="7">
                  <c:v>66.115702479338836</c:v>
                </c:pt>
                <c:pt idx="8">
                  <c:v>12.262415695892091</c:v>
                </c:pt>
                <c:pt idx="9">
                  <c:v>0</c:v>
                </c:pt>
                <c:pt idx="10">
                  <c:v>25.557811817523095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0-405C-9226-A9C155AE3236}"/>
            </c:ext>
          </c:extLst>
        </c:ser>
        <c:ser>
          <c:idx val="1"/>
          <c:order val="1"/>
          <c:tx>
            <c:strRef>
              <c:f>[1]BOET!$A$63</c:f>
              <c:strCache>
                <c:ptCount val="1"/>
                <c:pt idx="0">
                  <c:v>Нялхсын эндэгдэл (1000 амьд төрөлтөд)</c:v>
                </c:pt>
              </c:strCache>
            </c:strRef>
          </c:tx>
          <c:spPr>
            <a:solidFill>
              <a:srgbClr val="CDB9D9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[1]BOET!$F$61:$P$61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10 жил дундаж</c:v>
                </c:pt>
              </c:strCache>
            </c:strRef>
          </c:cat>
          <c:val>
            <c:numRef>
              <c:f>[1]BOET!$F$63:$P$63</c:f>
              <c:numCache>
                <c:formatCode>General</c:formatCode>
                <c:ptCount val="11"/>
                <c:pt idx="0">
                  <c:v>11.7</c:v>
                </c:pt>
                <c:pt idx="1">
                  <c:v>8.8000000000000007</c:v>
                </c:pt>
                <c:pt idx="2">
                  <c:v>11.3</c:v>
                </c:pt>
                <c:pt idx="3">
                  <c:v>8.4</c:v>
                </c:pt>
                <c:pt idx="4">
                  <c:v>7.4</c:v>
                </c:pt>
                <c:pt idx="5">
                  <c:v>8.4</c:v>
                </c:pt>
                <c:pt idx="6">
                  <c:v>8.1</c:v>
                </c:pt>
                <c:pt idx="7">
                  <c:v>11.460055096418733</c:v>
                </c:pt>
                <c:pt idx="8">
                  <c:v>8.3384426732066217</c:v>
                </c:pt>
                <c:pt idx="9">
                  <c:v>6.9</c:v>
                </c:pt>
                <c:pt idx="10">
                  <c:v>9.0798497769625364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40-405C-9226-A9C155AE3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5"/>
        <c:axId val="637882512"/>
        <c:axId val="1"/>
      </c:barChart>
      <c:catAx>
        <c:axId val="63788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7882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'4.39'!$A$6</c:f>
              <c:strCache>
                <c:ptCount val="1"/>
                <c:pt idx="0">
                  <c:v>Эхийн эндэгдэл (100 000 амьд төрөлтөд)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'4.39'!$G$5:$Q$5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'4.39'!$G$6:$Q$6</c:f>
              <c:numCache>
                <c:formatCode>0.0</c:formatCode>
                <c:ptCount val="11"/>
                <c:pt idx="0">
                  <c:v>20.7</c:v>
                </c:pt>
                <c:pt idx="1">
                  <c:v>62.7</c:v>
                </c:pt>
                <c:pt idx="2">
                  <c:v>21.9</c:v>
                </c:pt>
                <c:pt idx="3">
                  <c:v>10.4</c:v>
                </c:pt>
                <c:pt idx="4">
                  <c:v>20.2</c:v>
                </c:pt>
                <c:pt idx="5">
                  <c:v>10.3</c:v>
                </c:pt>
                <c:pt idx="6">
                  <c:v>66.115702479338836</c:v>
                </c:pt>
                <c:pt idx="7">
                  <c:v>12.262415695892091</c:v>
                </c:pt>
                <c:pt idx="8">
                  <c:v>0</c:v>
                </c:pt>
                <c:pt idx="9">
                  <c:v>27.288852503752217</c:v>
                </c:pt>
                <c:pt idx="10">
                  <c:v>25.186697067898315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84-4839-AB2E-F12FD4154848}"/>
            </c:ext>
          </c:extLst>
        </c:ser>
        <c:ser>
          <c:idx val="1"/>
          <c:order val="1"/>
          <c:tx>
            <c:strRef>
              <c:f>'4.39'!$A$7</c:f>
              <c:strCache>
                <c:ptCount val="1"/>
                <c:pt idx="0">
                  <c:v>Нялхсын эндэгдэл (1000 амьд төрөлтөд)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'4.39'!$G$5:$Q$5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'4.39'!$G$7:$Q$7</c:f>
              <c:numCache>
                <c:formatCode>0.0</c:formatCode>
                <c:ptCount val="11"/>
                <c:pt idx="0">
                  <c:v>8.8000000000000007</c:v>
                </c:pt>
                <c:pt idx="1">
                  <c:v>11.3</c:v>
                </c:pt>
                <c:pt idx="2">
                  <c:v>8.4</c:v>
                </c:pt>
                <c:pt idx="3">
                  <c:v>7.4</c:v>
                </c:pt>
                <c:pt idx="4">
                  <c:v>8.4</c:v>
                </c:pt>
                <c:pt idx="5">
                  <c:v>8.1</c:v>
                </c:pt>
                <c:pt idx="6">
                  <c:v>11.460055096418733</c:v>
                </c:pt>
                <c:pt idx="7">
                  <c:v>8.3384426732066217</c:v>
                </c:pt>
                <c:pt idx="8">
                  <c:v>6.9</c:v>
                </c:pt>
                <c:pt idx="9">
                  <c:v>7.5044344385318595</c:v>
                </c:pt>
                <c:pt idx="10">
                  <c:v>8.6602932208157224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84-4839-AB2E-F12FD41548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8465167"/>
        <c:axId val="608468527"/>
      </c:barChart>
      <c:catAx>
        <c:axId val="60846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8468527"/>
        <c:crosses val="autoZero"/>
        <c:auto val="1"/>
        <c:lblAlgn val="ctr"/>
        <c:lblOffset val="100"/>
        <c:noMultiLvlLbl val="0"/>
      </c:catAx>
      <c:valAx>
        <c:axId val="608468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8465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81796343253704E-2"/>
          <c:y val="4.569055036344756E-2"/>
          <c:w val="0.91696961608612482"/>
          <c:h val="0.721069165419743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'[1]Tuv emneleg'!$A$27</c:f>
              <c:strCache>
                <c:ptCount val="1"/>
                <c:pt idx="0">
                  <c:v>Их эмчийн тоо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>
              <a:softEdge rad="0"/>
            </a:effectLst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'[1]Tuv emneleg'!$F$26:$P$26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10 жил дундаж</c:v>
                </c:pt>
              </c:strCache>
            </c:strRef>
          </c:cat>
          <c:val>
            <c:numRef>
              <c:f>'[1]Tuv emneleg'!$F$27:$P$27</c:f>
              <c:numCache>
                <c:formatCode>General</c:formatCode>
                <c:ptCount val="11"/>
                <c:pt idx="0">
                  <c:v>1229</c:v>
                </c:pt>
                <c:pt idx="1">
                  <c:v>1221</c:v>
                </c:pt>
                <c:pt idx="2">
                  <c:v>1217</c:v>
                </c:pt>
                <c:pt idx="3">
                  <c:v>1225</c:v>
                </c:pt>
                <c:pt idx="4">
                  <c:v>1258</c:v>
                </c:pt>
                <c:pt idx="5">
                  <c:v>1380</c:v>
                </c:pt>
                <c:pt idx="6">
                  <c:v>1437</c:v>
                </c:pt>
                <c:pt idx="7">
                  <c:v>1533</c:v>
                </c:pt>
                <c:pt idx="8">
                  <c:v>1561</c:v>
                </c:pt>
                <c:pt idx="9">
                  <c:v>1646</c:v>
                </c:pt>
                <c:pt idx="10">
                  <c:v>1370.7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E-47BA-BEF2-6D5A2EFBC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9"/>
        <c:overlap val="-27"/>
        <c:axId val="373255712"/>
        <c:axId val="1"/>
      </c:barChart>
      <c:lineChart>
        <c:grouping val="standard"/>
        <c:varyColors val="0"/>
        <c:ser>
          <c:idx val="1"/>
          <c:order val="1"/>
          <c:tx>
            <c:strRef>
              <c:f>'[1]Tuv emneleg'!$A$28</c:f>
              <c:strCache>
                <c:ptCount val="1"/>
                <c:pt idx="0">
                  <c:v>Сувилагчийн тоо</c:v>
                </c:pt>
              </c:strCache>
            </c:strRef>
          </c:tx>
          <c:spPr>
            <a:ln w="15875">
              <a:solidFill>
                <a:schemeClr val="accent1"/>
              </a:solidFill>
            </a:ln>
          </c:spPr>
          <c:marker>
            <c:symbol val="star"/>
            <c:size val="6"/>
            <c:spPr>
              <a:ln>
                <a:solidFill>
                  <a:schemeClr val="accent1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'[1]Tuv emneleg'!$F$26:$P$26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10 жил дундаж</c:v>
                </c:pt>
              </c:strCache>
            </c:strRef>
          </c:cat>
          <c:val>
            <c:numRef>
              <c:f>'[1]Tuv emneleg'!$F$28:$P$28</c:f>
              <c:numCache>
                <c:formatCode>General</c:formatCode>
                <c:ptCount val="11"/>
                <c:pt idx="0">
                  <c:v>1879</c:v>
                </c:pt>
                <c:pt idx="1">
                  <c:v>1912</c:v>
                </c:pt>
                <c:pt idx="2">
                  <c:v>1917</c:v>
                </c:pt>
                <c:pt idx="3">
                  <c:v>1943</c:v>
                </c:pt>
                <c:pt idx="4">
                  <c:v>2035</c:v>
                </c:pt>
                <c:pt idx="5">
                  <c:v>2158</c:v>
                </c:pt>
                <c:pt idx="6">
                  <c:v>2210</c:v>
                </c:pt>
                <c:pt idx="7">
                  <c:v>2256</c:v>
                </c:pt>
                <c:pt idx="8">
                  <c:v>2135</c:v>
                </c:pt>
                <c:pt idx="9">
                  <c:v>2228</c:v>
                </c:pt>
                <c:pt idx="10">
                  <c:v>2067.3000000000002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E-47BA-BEF2-6D5A2EFBC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255712"/>
        <c:axId val="1"/>
      </c:lineChart>
      <c:catAx>
        <c:axId val="37325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732557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  <a:alpha val="90000"/>
        </a:schemeClr>
      </a:solidFill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'4.40'!$A$5</c:f>
              <c:strCache>
                <c:ptCount val="1"/>
                <c:pt idx="0">
                  <c:v>Их эмчийн тоо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'4.40'!$G$4:$Q$4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'4.40'!$G$5:$Q$5</c:f>
              <c:numCache>
                <c:formatCode>General</c:formatCode>
                <c:ptCount val="11"/>
                <c:pt idx="0">
                  <c:v>1221</c:v>
                </c:pt>
                <c:pt idx="1">
                  <c:v>1217</c:v>
                </c:pt>
                <c:pt idx="2">
                  <c:v>1225</c:v>
                </c:pt>
                <c:pt idx="3">
                  <c:v>1258</c:v>
                </c:pt>
                <c:pt idx="4">
                  <c:v>1380</c:v>
                </c:pt>
                <c:pt idx="5">
                  <c:v>1437</c:v>
                </c:pt>
                <c:pt idx="6">
                  <c:v>1533</c:v>
                </c:pt>
                <c:pt idx="7">
                  <c:v>1561</c:v>
                </c:pt>
                <c:pt idx="8">
                  <c:v>1646</c:v>
                </c:pt>
                <c:pt idx="9">
                  <c:v>1713</c:v>
                </c:pt>
                <c:pt idx="10" formatCode="0">
                  <c:v>1419.1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C-45B3-AE12-6C6E421E7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9"/>
        <c:overlap val="-27"/>
        <c:axId val="2042486048"/>
        <c:axId val="2042479328"/>
      </c:barChart>
      <c:lineChart>
        <c:grouping val="standard"/>
        <c:varyColors val="0"/>
        <c:ser>
          <c:idx val="1"/>
          <c:order val="1"/>
          <c:tx>
            <c:strRef>
              <c:f>'4.40'!$A$6</c:f>
              <c:strCache>
                <c:ptCount val="1"/>
                <c:pt idx="0">
                  <c:v>Сувилагчийн тоо</c:v>
                </c:pt>
              </c:strCache>
            </c:strRef>
          </c:tx>
          <c:spPr>
            <a:ln w="15875" cap="rnd">
              <a:solidFill>
                <a:srgbClr val="187AF0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6350">
                <a:solidFill>
                  <a:srgbClr val="0070C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'4.40'!$G$4:$Q$4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'4.40'!$G$6:$Q$6</c:f>
              <c:numCache>
                <c:formatCode>General</c:formatCode>
                <c:ptCount val="11"/>
                <c:pt idx="0">
                  <c:v>1912</c:v>
                </c:pt>
                <c:pt idx="1">
                  <c:v>1917</c:v>
                </c:pt>
                <c:pt idx="2">
                  <c:v>1943</c:v>
                </c:pt>
                <c:pt idx="3">
                  <c:v>2035</c:v>
                </c:pt>
                <c:pt idx="4">
                  <c:v>2158</c:v>
                </c:pt>
                <c:pt idx="5">
                  <c:v>2210</c:v>
                </c:pt>
                <c:pt idx="6">
                  <c:v>2256</c:v>
                </c:pt>
                <c:pt idx="7">
                  <c:v>2135</c:v>
                </c:pt>
                <c:pt idx="8">
                  <c:v>2228</c:v>
                </c:pt>
                <c:pt idx="9">
                  <c:v>2372</c:v>
                </c:pt>
                <c:pt idx="10" formatCode="0">
                  <c:v>2116.6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EC-45B3-AE12-6C6E421E7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486048"/>
        <c:axId val="2042479328"/>
      </c:lineChart>
      <c:catAx>
        <c:axId val="204248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2479328"/>
        <c:crosses val="autoZero"/>
        <c:auto val="1"/>
        <c:lblAlgn val="ctr"/>
        <c:lblOffset val="100"/>
        <c:noMultiLvlLbl val="0"/>
      </c:catAx>
      <c:valAx>
        <c:axId val="204247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248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46415821970561E-2"/>
          <c:y val="8.4868773461573233E-2"/>
          <c:w val="0.87646265127134304"/>
          <c:h val="0.626939311265107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'[1]Tuv emneleg'!$A$17</c:f>
              <c:strCache>
                <c:ptCount val="1"/>
                <c:pt idx="0">
                  <c:v>Хэвтэн эмчлүүлэгчийн тоо</c:v>
                </c:pt>
              </c:strCache>
            </c:strRef>
          </c:tx>
          <c:spPr>
            <a:solidFill>
              <a:srgbClr val="2B9EF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'[1]Tuv emneleg'!$F$16:$P$16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10 жил дундаж</c:v>
                </c:pt>
              </c:strCache>
            </c:strRef>
          </c:cat>
          <c:val>
            <c:numRef>
              <c:f>'[1]Tuv emneleg'!$F$17:$P$17</c:f>
              <c:numCache>
                <c:formatCode>General</c:formatCode>
                <c:ptCount val="11"/>
                <c:pt idx="0">
                  <c:v>134.1</c:v>
                </c:pt>
                <c:pt idx="1">
                  <c:v>141.9</c:v>
                </c:pt>
                <c:pt idx="2">
                  <c:v>146</c:v>
                </c:pt>
                <c:pt idx="3">
                  <c:v>149.6</c:v>
                </c:pt>
                <c:pt idx="4">
                  <c:v>159.5</c:v>
                </c:pt>
                <c:pt idx="5">
                  <c:v>157.9</c:v>
                </c:pt>
                <c:pt idx="6">
                  <c:v>163.6</c:v>
                </c:pt>
                <c:pt idx="7">
                  <c:v>192.8</c:v>
                </c:pt>
                <c:pt idx="8">
                  <c:v>192.1</c:v>
                </c:pt>
                <c:pt idx="9">
                  <c:v>196.7</c:v>
                </c:pt>
                <c:pt idx="10">
                  <c:v>163.41999999999999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5-4E6D-A306-67ED3886A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73249056"/>
        <c:axId val="1"/>
      </c:barChart>
      <c:lineChart>
        <c:grouping val="standard"/>
        <c:varyColors val="0"/>
        <c:ser>
          <c:idx val="1"/>
          <c:order val="1"/>
          <c:tx>
            <c:strRef>
              <c:f>'[1]Tuv emneleg'!$A$18</c:f>
              <c:strCache>
                <c:ptCount val="1"/>
                <c:pt idx="0">
                  <c:v>Доод шатлалаас ирж хэвтэн эмчлүүлэгчдийн хувь
</c:v>
                </c:pt>
              </c:strCache>
            </c:strRef>
          </c:tx>
          <c:spPr>
            <a:ln w="15875" cap="flat" cmpd="sng">
              <a:solidFill>
                <a:srgbClr val="92D050"/>
              </a:solidFill>
              <a:prstDash val="solid"/>
              <a:round/>
              <a:headEnd type="none" w="sm" len="sm"/>
              <a:tailEnd type="none"/>
            </a:ln>
            <a:effectLst/>
          </c:spPr>
          <c:marker>
            <c:symbol val="diamond"/>
            <c:size val="4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'[1]Tuv emneleg'!$F$16:$P$16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10 жил дундаж</c:v>
                </c:pt>
              </c:strCache>
            </c:strRef>
          </c:cat>
          <c:val>
            <c:numRef>
              <c:f>'[1]Tuv emneleg'!$F$18:$P$18</c:f>
              <c:numCache>
                <c:formatCode>General</c:formatCode>
                <c:ptCount val="11"/>
                <c:pt idx="0">
                  <c:v>22.638118250701034</c:v>
                </c:pt>
                <c:pt idx="1">
                  <c:v>21.496439564154759</c:v>
                </c:pt>
                <c:pt idx="2">
                  <c:v>30.157567125238817</c:v>
                </c:pt>
                <c:pt idx="3">
                  <c:v>20.236221787868157</c:v>
                </c:pt>
                <c:pt idx="4">
                  <c:v>22.843922227586511</c:v>
                </c:pt>
                <c:pt idx="5">
                  <c:v>23.033227577559511</c:v>
                </c:pt>
                <c:pt idx="6">
                  <c:v>18.3</c:v>
                </c:pt>
                <c:pt idx="7">
                  <c:v>10.199999999999999</c:v>
                </c:pt>
                <c:pt idx="8">
                  <c:v>16.568081213941277</c:v>
                </c:pt>
                <c:pt idx="9">
                  <c:v>15.22187232333707</c:v>
                </c:pt>
                <c:pt idx="10">
                  <c:v>20.069545007038712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05-4E6D-A306-67ED3886A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7324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3249056"/>
        <c:crosses val="autoZero"/>
        <c:crossBetween val="between"/>
        <c:majorUnit val="4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8970561709239365E-2"/>
          <c:y val="0.88288123559023213"/>
          <c:w val="0.83327907293495751"/>
          <c:h val="0.1049607096985217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76762953040226E-2"/>
          <c:y val="5.0925925925925923E-2"/>
          <c:w val="0.86865276229643162"/>
          <c:h val="0.6549123035460570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'4.32'!$C$17:$C$18</c:f>
              <c:strCache>
                <c:ptCount val="2"/>
                <c:pt idx="0">
                  <c:v>Их эмч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'4.32'!$A$24:$A$33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'4.32'!$C$24:$C$33</c:f>
              <c:numCache>
                <c:formatCode>General</c:formatCode>
                <c:ptCount val="10"/>
                <c:pt idx="0">
                  <c:v>449</c:v>
                </c:pt>
                <c:pt idx="1">
                  <c:v>449</c:v>
                </c:pt>
                <c:pt idx="2">
                  <c:v>457</c:v>
                </c:pt>
                <c:pt idx="3">
                  <c:v>481</c:v>
                </c:pt>
                <c:pt idx="4">
                  <c:v>522</c:v>
                </c:pt>
                <c:pt idx="5">
                  <c:v>514</c:v>
                </c:pt>
                <c:pt idx="6">
                  <c:v>511</c:v>
                </c:pt>
                <c:pt idx="7">
                  <c:v>532</c:v>
                </c:pt>
                <c:pt idx="8">
                  <c:v>557</c:v>
                </c:pt>
                <c:pt idx="9">
                  <c:v>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45-4933-A0D2-3DAC09E07DA7}"/>
            </c:ext>
          </c:extLst>
        </c:ser>
        <c:ser>
          <c:idx val="2"/>
          <c:order val="2"/>
          <c:tx>
            <c:strRef>
              <c:f>'4.32'!$D$17:$D$18</c:f>
              <c:strCache>
                <c:ptCount val="2"/>
                <c:pt idx="0">
                  <c:v>Сувилагч</c:v>
                </c:pt>
              </c:strCache>
            </c:strRef>
          </c:tx>
          <c:spPr>
            <a:gradFill>
              <a:gsLst>
                <a:gs pos="0">
                  <a:srgbClr val="00B0F0"/>
                </a:gs>
                <a:gs pos="81000">
                  <a:srgbClr val="93E0FF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'4.32'!$A$24:$A$33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'4.32'!$D$24:$D$33</c:f>
              <c:numCache>
                <c:formatCode>General</c:formatCode>
                <c:ptCount val="10"/>
                <c:pt idx="0">
                  <c:v>694</c:v>
                </c:pt>
                <c:pt idx="1">
                  <c:v>706</c:v>
                </c:pt>
                <c:pt idx="2">
                  <c:v>714</c:v>
                </c:pt>
                <c:pt idx="3">
                  <c:v>730</c:v>
                </c:pt>
                <c:pt idx="4">
                  <c:v>747</c:v>
                </c:pt>
                <c:pt idx="5">
                  <c:v>766</c:v>
                </c:pt>
                <c:pt idx="6">
                  <c:v>793</c:v>
                </c:pt>
                <c:pt idx="7">
                  <c:v>792</c:v>
                </c:pt>
                <c:pt idx="8">
                  <c:v>800</c:v>
                </c:pt>
                <c:pt idx="9">
                  <c:v>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45-4933-A0D2-3DAC09E07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overlap val="-1"/>
        <c:axId val="1490845679"/>
        <c:axId val="1490846159"/>
      </c:barChart>
      <c:lineChart>
        <c:grouping val="stacked"/>
        <c:varyColors val="0"/>
        <c:ser>
          <c:idx val="0"/>
          <c:order val="0"/>
          <c:tx>
            <c:strRef>
              <c:f>'4.32'!$B$17:$B$18</c:f>
              <c:strCache>
                <c:ptCount val="2"/>
                <c:pt idx="0">
                  <c:v>Нийт ажиллагчид
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'4.32'!$A$24:$A$33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'4.32'!$B$24:$B$33</c:f>
              <c:numCache>
                <c:formatCode>General</c:formatCode>
                <c:ptCount val="10"/>
                <c:pt idx="0">
                  <c:v>1926</c:v>
                </c:pt>
                <c:pt idx="1">
                  <c:v>1945</c:v>
                </c:pt>
                <c:pt idx="2">
                  <c:v>1957</c:v>
                </c:pt>
                <c:pt idx="3">
                  <c:v>2050</c:v>
                </c:pt>
                <c:pt idx="4">
                  <c:v>2090</c:v>
                </c:pt>
                <c:pt idx="5">
                  <c:v>2112</c:v>
                </c:pt>
                <c:pt idx="6">
                  <c:v>2164</c:v>
                </c:pt>
                <c:pt idx="7">
                  <c:v>2184</c:v>
                </c:pt>
                <c:pt idx="8">
                  <c:v>2247</c:v>
                </c:pt>
                <c:pt idx="9">
                  <c:v>2256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45-4933-A0D2-3DAC09E07D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78515855"/>
        <c:axId val="1478518735"/>
      </c:lineChart>
      <c:catAx>
        <c:axId val="1490845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90846159"/>
        <c:crosses val="autoZero"/>
        <c:auto val="1"/>
        <c:lblAlgn val="ctr"/>
        <c:lblOffset val="100"/>
        <c:noMultiLvlLbl val="0"/>
      </c:catAx>
      <c:valAx>
        <c:axId val="1490846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90845679"/>
        <c:crosses val="autoZero"/>
        <c:crossBetween val="between"/>
        <c:majorUnit val="200"/>
      </c:valAx>
      <c:valAx>
        <c:axId val="1478518735"/>
        <c:scaling>
          <c:orientation val="minMax"/>
          <c:max val="25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78515855"/>
        <c:crosses val="max"/>
        <c:crossBetween val="between"/>
      </c:valAx>
      <c:catAx>
        <c:axId val="14785158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85187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115294900347657"/>
          <c:y val="0.84593263640002248"/>
          <c:w val="0.49769393972584958"/>
          <c:h val="0.114365036159201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569612586950421E-2"/>
          <c:y val="0.12636165577342048"/>
          <c:w val="0.87886077482609914"/>
          <c:h val="0.592509906849879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'4.41'!$A$17</c:f>
              <c:strCache>
                <c:ptCount val="1"/>
                <c:pt idx="0">
                  <c:v>Хэвтэн эмчлүүлэгчийн тоо</c:v>
                </c:pt>
              </c:strCache>
            </c:strRef>
          </c:tx>
          <c:spPr>
            <a:solidFill>
              <a:srgbClr val="187A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'4.41'!$G$16:$Q$16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'4.41'!$G$17:$Q$17</c:f>
              <c:numCache>
                <c:formatCode>0.0</c:formatCode>
                <c:ptCount val="11"/>
                <c:pt idx="0" formatCode="General">
                  <c:v>141.9</c:v>
                </c:pt>
                <c:pt idx="1">
                  <c:v>146</c:v>
                </c:pt>
                <c:pt idx="2" formatCode="General">
                  <c:v>149.6</c:v>
                </c:pt>
                <c:pt idx="3" formatCode="General">
                  <c:v>159.5</c:v>
                </c:pt>
                <c:pt idx="4" formatCode="General">
                  <c:v>157.9</c:v>
                </c:pt>
                <c:pt idx="5" formatCode="General">
                  <c:v>163.6</c:v>
                </c:pt>
                <c:pt idx="6" formatCode="General">
                  <c:v>192.8</c:v>
                </c:pt>
                <c:pt idx="7" formatCode="General">
                  <c:v>192.1</c:v>
                </c:pt>
                <c:pt idx="8" formatCode="General">
                  <c:v>196.7</c:v>
                </c:pt>
                <c:pt idx="9" formatCode="General">
                  <c:v>215.7</c:v>
                </c:pt>
                <c:pt idx="10">
                  <c:v>171.57999999999998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92-4A15-B185-9F7EE13D55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3"/>
        <c:overlap val="-26"/>
        <c:axId val="1765435871"/>
        <c:axId val="1765431071"/>
      </c:barChart>
      <c:lineChart>
        <c:grouping val="standard"/>
        <c:varyColors val="0"/>
        <c:ser>
          <c:idx val="1"/>
          <c:order val="1"/>
          <c:tx>
            <c:strRef>
              <c:f>'4.41'!$A$18</c:f>
              <c:strCache>
                <c:ptCount val="1"/>
                <c:pt idx="0">
                  <c:v>Доод шатлалаас ирж хэвтэн эмчлүүлэгчдийн хувь
</c:v>
                </c:pt>
              </c:strCache>
            </c:strRef>
          </c:tx>
          <c:spPr>
            <a:ln w="158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'4.41'!$G$16:$Q$16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'4.41'!$G$18:$Q$18</c:f>
              <c:numCache>
                <c:formatCode>0.0</c:formatCode>
                <c:ptCount val="11"/>
                <c:pt idx="0">
                  <c:v>21.496439564154759</c:v>
                </c:pt>
                <c:pt idx="1">
                  <c:v>30.157567125238817</c:v>
                </c:pt>
                <c:pt idx="2">
                  <c:v>20.236221787868157</c:v>
                </c:pt>
                <c:pt idx="3">
                  <c:v>22.843922227586511</c:v>
                </c:pt>
                <c:pt idx="4">
                  <c:v>23.033227577559511</c:v>
                </c:pt>
                <c:pt idx="5">
                  <c:v>18.3</c:v>
                </c:pt>
                <c:pt idx="6">
                  <c:v>10.199999999999999</c:v>
                </c:pt>
                <c:pt idx="7">
                  <c:v>16.568081213941277</c:v>
                </c:pt>
                <c:pt idx="8">
                  <c:v>15.22187232333707</c:v>
                </c:pt>
                <c:pt idx="9">
                  <c:v>9.3390481533080045</c:v>
                </c:pt>
                <c:pt idx="10">
                  <c:v>18.739637997299408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92-4A15-B185-9F7EE13D55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53367679"/>
        <c:axId val="1753366719"/>
      </c:lineChart>
      <c:catAx>
        <c:axId val="1765435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5431071"/>
        <c:crosses val="autoZero"/>
        <c:auto val="1"/>
        <c:lblAlgn val="ctr"/>
        <c:lblOffset val="100"/>
        <c:noMultiLvlLbl val="0"/>
      </c:catAx>
      <c:valAx>
        <c:axId val="1765431071"/>
        <c:scaling>
          <c:orientation val="minMax"/>
          <c:max val="2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5435871"/>
        <c:crosses val="autoZero"/>
        <c:crossBetween val="between"/>
        <c:majorUnit val="40"/>
      </c:valAx>
      <c:valAx>
        <c:axId val="1753366719"/>
        <c:scaling>
          <c:orientation val="minMax"/>
          <c:max val="10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53367679"/>
        <c:crosses val="max"/>
        <c:crossBetween val="between"/>
        <c:majorUnit val="20"/>
      </c:valAx>
      <c:catAx>
        <c:axId val="17533676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33667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59699330358448E-2"/>
          <c:y val="0.11594200597531995"/>
          <c:w val="0.90641114401463008"/>
          <c:h val="0.71174181727682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'[1]Tuv emneleg'!$A$42</c:f>
              <c:strCache>
                <c:ptCount val="1"/>
                <c:pt idx="0">
                  <c:v>Дундаж ор хоног</c:v>
                </c:pt>
              </c:strCache>
            </c:strRef>
          </c:tx>
          <c:spPr>
            <a:solidFill>
              <a:srgbClr val="2B9EF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'[1]Tuv emneleg'!$F$41:$P$41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10 жил дундаж</c:v>
                </c:pt>
              </c:strCache>
            </c:strRef>
          </c:cat>
          <c:val>
            <c:numRef>
              <c:f>'[1]Tuv emneleg'!$F$42:$P$42</c:f>
              <c:numCache>
                <c:formatCode>General</c:formatCode>
                <c:ptCount val="11"/>
                <c:pt idx="0">
                  <c:v>9.4</c:v>
                </c:pt>
                <c:pt idx="1">
                  <c:v>8.9</c:v>
                </c:pt>
                <c:pt idx="2">
                  <c:v>8.6999999999999993</c:v>
                </c:pt>
                <c:pt idx="3">
                  <c:v>8.6</c:v>
                </c:pt>
                <c:pt idx="4">
                  <c:v>8.3452734010069527</c:v>
                </c:pt>
                <c:pt idx="5">
                  <c:v>8.1999999999999993</c:v>
                </c:pt>
                <c:pt idx="6">
                  <c:v>7.4</c:v>
                </c:pt>
                <c:pt idx="7">
                  <c:v>7.6</c:v>
                </c:pt>
                <c:pt idx="8">
                  <c:v>7.4</c:v>
                </c:pt>
                <c:pt idx="9">
                  <c:v>7.4</c:v>
                </c:pt>
                <c:pt idx="10">
                  <c:v>8.1945273401006968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D-422B-8691-4EDF49A2B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259872"/>
        <c:axId val="1"/>
      </c:barChart>
      <c:catAx>
        <c:axId val="37325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3259872"/>
        <c:crosses val="autoZero"/>
        <c:crossBetween val="between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87A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'4.42'!$G$9:$Q$9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'4.42'!$G$10:$Q$10</c:f>
              <c:numCache>
                <c:formatCode>0.0</c:formatCode>
                <c:ptCount val="11"/>
                <c:pt idx="0">
                  <c:v>8.9</c:v>
                </c:pt>
                <c:pt idx="1">
                  <c:v>8.6999999999999993</c:v>
                </c:pt>
                <c:pt idx="2">
                  <c:v>8.6</c:v>
                </c:pt>
                <c:pt idx="3">
                  <c:v>8.3452734010069527</c:v>
                </c:pt>
                <c:pt idx="4">
                  <c:v>8.1999999999999993</c:v>
                </c:pt>
                <c:pt idx="5">
                  <c:v>7.4</c:v>
                </c:pt>
                <c:pt idx="6">
                  <c:v>7.6</c:v>
                </c:pt>
                <c:pt idx="7">
                  <c:v>7.4</c:v>
                </c:pt>
                <c:pt idx="8">
                  <c:v>7.4</c:v>
                </c:pt>
                <c:pt idx="9">
                  <c:v>7</c:v>
                </c:pt>
                <c:pt idx="10">
                  <c:v>7.9545273401006966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C-42BC-ABF1-B4614F733B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513535"/>
        <c:axId val="1274718191"/>
      </c:barChart>
      <c:catAx>
        <c:axId val="1354513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74718191"/>
        <c:crosses val="autoZero"/>
        <c:auto val="1"/>
        <c:lblAlgn val="ctr"/>
        <c:lblOffset val="100"/>
        <c:noMultiLvlLbl val="0"/>
      </c:catAx>
      <c:valAx>
        <c:axId val="1274718191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4513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'[1]Tuv emneleg'!$A$43</c:f>
              <c:strCache>
                <c:ptCount val="1"/>
                <c:pt idx="0">
                  <c:v>Хоног болоогүй нас баралтын хувь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'[1]Tuv emneleg'!$F$41:$P$41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10 жил дундаж</c:v>
                </c:pt>
              </c:strCache>
            </c:strRef>
          </c:cat>
          <c:val>
            <c:numRef>
              <c:f>'[1]Tuv emneleg'!$F$43:$P$43</c:f>
              <c:numCache>
                <c:formatCode>General</c:formatCode>
                <c:ptCount val="11"/>
                <c:pt idx="0">
                  <c:v>27.9</c:v>
                </c:pt>
                <c:pt idx="1">
                  <c:v>20.5</c:v>
                </c:pt>
                <c:pt idx="2">
                  <c:v>20.3</c:v>
                </c:pt>
                <c:pt idx="3">
                  <c:v>18.139293139293141</c:v>
                </c:pt>
                <c:pt idx="4">
                  <c:v>20.212765957446809</c:v>
                </c:pt>
                <c:pt idx="5">
                  <c:v>19.399999999999999</c:v>
                </c:pt>
                <c:pt idx="6">
                  <c:v>19.899999999999999</c:v>
                </c:pt>
                <c:pt idx="7">
                  <c:v>17.512592018597442</c:v>
                </c:pt>
                <c:pt idx="8">
                  <c:v>20.100000000000001</c:v>
                </c:pt>
                <c:pt idx="9">
                  <c:v>18.100000000000001</c:v>
                </c:pt>
                <c:pt idx="10">
                  <c:v>20.206465111533738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1-4C3B-B8BC-725F74017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8"/>
        <c:axId val="647836016"/>
        <c:axId val="1"/>
      </c:barChart>
      <c:catAx>
        <c:axId val="64783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78360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'4.43'!$A$7</c:f>
              <c:strCache>
                <c:ptCount val="1"/>
                <c:pt idx="0">
                  <c:v>Дундаж ор хоног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'4.43'!$G$6:$Q$6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'4.43'!$G$7:$Q$7</c:f>
            </c:numRef>
          </c:val>
          <c:extLst>
            <c:ext xmlns:c16="http://schemas.microsoft.com/office/drawing/2014/chart" uri="{C3380CC4-5D6E-409C-BE32-E72D297353CC}">
              <c16:uniqueId val="{00000000-F86C-4E68-B3F2-DDC16AFBBA9A}"/>
            </c:ext>
          </c:extLst>
        </c:ser>
        <c:ser>
          <c:idx val="1"/>
          <c:order val="1"/>
          <c:tx>
            <c:strRef>
              <c:f>'4.43'!$A$8</c:f>
              <c:strCache>
                <c:ptCount val="1"/>
                <c:pt idx="0">
                  <c:v>Хоног болоогүй нас баралтын хувь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'4.43'!$G$6:$Q$6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'4.43'!$G$8:$Q$8</c:f>
              <c:numCache>
                <c:formatCode>0.0</c:formatCode>
                <c:ptCount val="11"/>
                <c:pt idx="0">
                  <c:v>20.5</c:v>
                </c:pt>
                <c:pt idx="1">
                  <c:v>20.3</c:v>
                </c:pt>
                <c:pt idx="2">
                  <c:v>18.139293139293141</c:v>
                </c:pt>
                <c:pt idx="3">
                  <c:v>20.212765957446809</c:v>
                </c:pt>
                <c:pt idx="4">
                  <c:v>19.399999999999999</c:v>
                </c:pt>
                <c:pt idx="5">
                  <c:v>19.899999999999999</c:v>
                </c:pt>
                <c:pt idx="6">
                  <c:v>17.512592018597442</c:v>
                </c:pt>
                <c:pt idx="7">
                  <c:v>20.100000000000001</c:v>
                </c:pt>
                <c:pt idx="8">
                  <c:v>18.100000000000001</c:v>
                </c:pt>
                <c:pt idx="9">
                  <c:v>17</c:v>
                </c:pt>
                <c:pt idx="10">
                  <c:v>19.116465111533739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6C-4E68-B3F2-DDC16AFBBA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2"/>
        <c:overlap val="-27"/>
        <c:axId val="608360047"/>
        <c:axId val="608371567"/>
      </c:barChart>
      <c:catAx>
        <c:axId val="608360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8371567"/>
        <c:crosses val="autoZero"/>
        <c:auto val="1"/>
        <c:lblAlgn val="ctr"/>
        <c:lblOffset val="100"/>
        <c:noMultiLvlLbl val="0"/>
      </c:catAx>
      <c:valAx>
        <c:axId val="608371567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8360047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307992750906149E-2"/>
          <c:y val="7.2081364829396324E-2"/>
          <c:w val="0.90086760234228735"/>
          <c:h val="0.758742379424794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'[1]Tuv emneleg'!$A$91</c:f>
              <c:strCache>
                <c:ptCount val="1"/>
                <c:pt idx="0">
                  <c:v>Амбулаториор үйлчлүүлэгчдийн тоо/ мянга/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'[1]Tuv emneleg'!$F$90:$P$90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10 жил дундаж</c:v>
                </c:pt>
              </c:strCache>
            </c:strRef>
          </c:cat>
          <c:val>
            <c:numRef>
              <c:f>'[1]Tuv emneleg'!$F$91:$P$91</c:f>
              <c:numCache>
                <c:formatCode>General</c:formatCode>
                <c:ptCount val="11"/>
                <c:pt idx="0">
                  <c:v>1233.5</c:v>
                </c:pt>
                <c:pt idx="1">
                  <c:v>1279.4000000000001</c:v>
                </c:pt>
                <c:pt idx="2">
                  <c:v>1285.3</c:v>
                </c:pt>
                <c:pt idx="3">
                  <c:v>1398.7</c:v>
                </c:pt>
                <c:pt idx="4">
                  <c:v>1395.5</c:v>
                </c:pt>
                <c:pt idx="5">
                  <c:v>1467.3</c:v>
                </c:pt>
                <c:pt idx="6">
                  <c:v>1411.6</c:v>
                </c:pt>
                <c:pt idx="7">
                  <c:v>1349.5</c:v>
                </c:pt>
                <c:pt idx="8">
                  <c:v>1929.2</c:v>
                </c:pt>
                <c:pt idx="9">
                  <c:v>2259.1999999999998</c:v>
                </c:pt>
                <c:pt idx="10">
                  <c:v>1500.92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C-4EFD-BCC3-1848A6152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overlap val="-27"/>
        <c:axId val="373254048"/>
        <c:axId val="1"/>
      </c:barChart>
      <c:catAx>
        <c:axId val="3732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73254048"/>
        <c:crosses val="autoZero"/>
        <c:crossBetween val="between"/>
        <c:majorUnit val="4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chemeClr val="tx1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87AF0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'4.44'!$G$16:$Q$16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'4.44'!$G$17:$Q$17</c:f>
              <c:numCache>
                <c:formatCode>General</c:formatCode>
                <c:ptCount val="11"/>
                <c:pt idx="0">
                  <c:v>1279.4000000000001</c:v>
                </c:pt>
                <c:pt idx="1">
                  <c:v>1285.3</c:v>
                </c:pt>
                <c:pt idx="2">
                  <c:v>1398.7</c:v>
                </c:pt>
                <c:pt idx="3">
                  <c:v>1395.5</c:v>
                </c:pt>
                <c:pt idx="4">
                  <c:v>1467.3</c:v>
                </c:pt>
                <c:pt idx="5">
                  <c:v>1411.6</c:v>
                </c:pt>
                <c:pt idx="6">
                  <c:v>1349.5</c:v>
                </c:pt>
                <c:pt idx="7">
                  <c:v>1929.2</c:v>
                </c:pt>
                <c:pt idx="8">
                  <c:v>2259.1999999999998</c:v>
                </c:pt>
                <c:pt idx="9" formatCode="0.0">
                  <c:v>2205.4569999999999</c:v>
                </c:pt>
                <c:pt idx="10" formatCode="0.0">
                  <c:v>1598.1157000000001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A-4B65-984D-09DAA459FB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5"/>
        <c:axId val="1503834383"/>
        <c:axId val="1503829103"/>
      </c:barChart>
      <c:catAx>
        <c:axId val="1503834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03829103"/>
        <c:crosses val="autoZero"/>
        <c:auto val="1"/>
        <c:lblAlgn val="ctr"/>
        <c:lblOffset val="100"/>
        <c:noMultiLvlLbl val="0"/>
      </c:catAx>
      <c:valAx>
        <c:axId val="1503829103"/>
        <c:scaling>
          <c:orientation val="minMax"/>
          <c:max val="2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03834383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[1]Huviin!$B$23</c:f>
              <c:strCache>
                <c:ptCount val="1"/>
                <c:pt idx="0">
                  <c:v>Ортой эмнэлгийн тоо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[1]Huviin!$G$22:$Q$22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10 жил дундаж</c:v>
                </c:pt>
              </c:strCache>
            </c:strRef>
          </c:cat>
          <c:val>
            <c:numRef>
              <c:f>[1]Huviin!$G$23:$Q$23</c:f>
              <c:numCache>
                <c:formatCode>General</c:formatCode>
                <c:ptCount val="11"/>
                <c:pt idx="0">
                  <c:v>202</c:v>
                </c:pt>
                <c:pt idx="1">
                  <c:v>224</c:v>
                </c:pt>
                <c:pt idx="2">
                  <c:v>234</c:v>
                </c:pt>
                <c:pt idx="3">
                  <c:v>240</c:v>
                </c:pt>
                <c:pt idx="4">
                  <c:v>243</c:v>
                </c:pt>
                <c:pt idx="5">
                  <c:v>237</c:v>
                </c:pt>
                <c:pt idx="6">
                  <c:v>241</c:v>
                </c:pt>
                <c:pt idx="7">
                  <c:v>239</c:v>
                </c:pt>
                <c:pt idx="8">
                  <c:v>215</c:v>
                </c:pt>
                <c:pt idx="9">
                  <c:v>216</c:v>
                </c:pt>
                <c:pt idx="10">
                  <c:v>229.1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E-4022-9E9D-C93CA033FBDD}"/>
            </c:ext>
          </c:extLst>
        </c:ser>
        <c:ser>
          <c:idx val="1"/>
          <c:order val="1"/>
          <c:tx>
            <c:strRef>
              <c:f>[1]Huviin!$B$24</c:f>
              <c:strCache>
                <c:ptCount val="1"/>
                <c:pt idx="0">
                  <c:v>Хувийн клиник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[1]Huviin!$G$22:$Q$22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10 жил дундаж</c:v>
                </c:pt>
              </c:strCache>
            </c:strRef>
          </c:cat>
          <c:val>
            <c:numRef>
              <c:f>[1]Huviin!$G$24:$Q$24</c:f>
              <c:numCache>
                <c:formatCode>General</c:formatCode>
                <c:ptCount val="11"/>
                <c:pt idx="0">
                  <c:v>969</c:v>
                </c:pt>
                <c:pt idx="1">
                  <c:v>1006</c:v>
                </c:pt>
                <c:pt idx="2">
                  <c:v>1076</c:v>
                </c:pt>
                <c:pt idx="3">
                  <c:v>1226</c:v>
                </c:pt>
                <c:pt idx="4">
                  <c:v>1340</c:v>
                </c:pt>
                <c:pt idx="5">
                  <c:v>1444</c:v>
                </c:pt>
                <c:pt idx="6">
                  <c:v>1491</c:v>
                </c:pt>
                <c:pt idx="7">
                  <c:v>1548</c:v>
                </c:pt>
                <c:pt idx="8">
                  <c:v>1458</c:v>
                </c:pt>
                <c:pt idx="9">
                  <c:v>1466</c:v>
                </c:pt>
                <c:pt idx="10">
                  <c:v>1302.4000000000001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BE-4022-9E9D-C93CA033F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-27"/>
        <c:axId val="637880432"/>
        <c:axId val="1"/>
      </c:barChart>
      <c:catAx>
        <c:axId val="63788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78804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'4.45'!$B$7</c:f>
              <c:strCache>
                <c:ptCount val="1"/>
                <c:pt idx="0">
                  <c:v>Ортой эмнэлгийн тоо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'4.45'!$H$6:$R$6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'4.45'!$H$7:$R$7</c:f>
              <c:numCache>
                <c:formatCode>General</c:formatCode>
                <c:ptCount val="11"/>
                <c:pt idx="0">
                  <c:v>224</c:v>
                </c:pt>
                <c:pt idx="1">
                  <c:v>234</c:v>
                </c:pt>
                <c:pt idx="2">
                  <c:v>240</c:v>
                </c:pt>
                <c:pt idx="3">
                  <c:v>243</c:v>
                </c:pt>
                <c:pt idx="4">
                  <c:v>237</c:v>
                </c:pt>
                <c:pt idx="5">
                  <c:v>241</c:v>
                </c:pt>
                <c:pt idx="6">
                  <c:v>239</c:v>
                </c:pt>
                <c:pt idx="7">
                  <c:v>215</c:v>
                </c:pt>
                <c:pt idx="8">
                  <c:v>216</c:v>
                </c:pt>
                <c:pt idx="9">
                  <c:v>229</c:v>
                </c:pt>
                <c:pt idx="10" formatCode="0.0">
                  <c:v>231.8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67-49CD-BC75-812C299765D5}"/>
            </c:ext>
          </c:extLst>
        </c:ser>
        <c:ser>
          <c:idx val="1"/>
          <c:order val="1"/>
          <c:tx>
            <c:strRef>
              <c:f>'4.45'!$B$8</c:f>
              <c:strCache>
                <c:ptCount val="1"/>
                <c:pt idx="0">
                  <c:v>Хувийн клиник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'4.45'!$H$6:$R$6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'4.45'!$H$8:$R$8</c:f>
              <c:numCache>
                <c:formatCode>General</c:formatCode>
                <c:ptCount val="11"/>
                <c:pt idx="0">
                  <c:v>1006</c:v>
                </c:pt>
                <c:pt idx="1">
                  <c:v>1076</c:v>
                </c:pt>
                <c:pt idx="2">
                  <c:v>1226</c:v>
                </c:pt>
                <c:pt idx="3">
                  <c:v>1340</c:v>
                </c:pt>
                <c:pt idx="4">
                  <c:v>1444</c:v>
                </c:pt>
                <c:pt idx="5">
                  <c:v>1491</c:v>
                </c:pt>
                <c:pt idx="6">
                  <c:v>1548</c:v>
                </c:pt>
                <c:pt idx="7">
                  <c:v>1458</c:v>
                </c:pt>
                <c:pt idx="8">
                  <c:v>1466</c:v>
                </c:pt>
                <c:pt idx="9">
                  <c:v>1588</c:v>
                </c:pt>
                <c:pt idx="10" formatCode="0.0">
                  <c:v>1364.3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67-49CD-BC75-812C299765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7"/>
        <c:overlap val="-27"/>
        <c:axId val="1756683407"/>
        <c:axId val="1756684367"/>
      </c:barChart>
      <c:catAx>
        <c:axId val="1756683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56684367"/>
        <c:crosses val="autoZero"/>
        <c:auto val="1"/>
        <c:lblAlgn val="ctr"/>
        <c:lblOffset val="100"/>
        <c:noMultiLvlLbl val="0"/>
      </c:catAx>
      <c:valAx>
        <c:axId val="1756684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56683407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[1]Huviin!$B$31</c:f>
              <c:strCache>
                <c:ptCount val="1"/>
                <c:pt idx="0">
                  <c:v>Эмнэлгийн орны тоо</c:v>
                </c:pt>
              </c:strCache>
            </c:strRef>
          </c:tx>
          <c:spPr>
            <a:solidFill>
              <a:schemeClr val="lt1"/>
            </a:solidFill>
            <a:ln w="22225" cap="flat" cmpd="sng" algn="ctr">
              <a:solidFill>
                <a:schemeClr val="accent1"/>
              </a:solidFill>
              <a:prstDash val="solid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[1]Huviin!$G$30:$Q$30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10 жил дундаж</c:v>
                </c:pt>
              </c:strCache>
            </c:strRef>
          </c:cat>
          <c:val>
            <c:numRef>
              <c:f>[1]Huviin!$G$31:$Q$31</c:f>
              <c:numCache>
                <c:formatCode>General</c:formatCode>
                <c:ptCount val="11"/>
                <c:pt idx="0">
                  <c:v>4542</c:v>
                </c:pt>
                <c:pt idx="1">
                  <c:v>5262</c:v>
                </c:pt>
                <c:pt idx="2">
                  <c:v>5611</c:v>
                </c:pt>
                <c:pt idx="3">
                  <c:v>5756</c:v>
                </c:pt>
                <c:pt idx="4">
                  <c:v>5985</c:v>
                </c:pt>
                <c:pt idx="5">
                  <c:v>6205</c:v>
                </c:pt>
                <c:pt idx="6">
                  <c:v>7291</c:v>
                </c:pt>
                <c:pt idx="7">
                  <c:v>6709</c:v>
                </c:pt>
                <c:pt idx="8">
                  <c:v>7352</c:v>
                </c:pt>
                <c:pt idx="9">
                  <c:v>7508</c:v>
                </c:pt>
                <c:pt idx="10">
                  <c:v>6222.1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6-4DDA-82BC-2F3370142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343539600"/>
        <c:axId val="1"/>
      </c:barChart>
      <c:lineChart>
        <c:grouping val="standard"/>
        <c:varyColors val="0"/>
        <c:ser>
          <c:idx val="1"/>
          <c:order val="1"/>
          <c:tx>
            <c:strRef>
              <c:f>[1]Huviin!$B$32</c:f>
              <c:strCache>
                <c:ptCount val="1"/>
                <c:pt idx="0">
                  <c:v>Нийт оронд эзлэх хувь</c:v>
                </c:pt>
              </c:strCache>
            </c:strRef>
          </c:tx>
          <c:spPr>
            <a:ln w="15875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3.2316585426821795E-2"/>
                  <c:y val="-9.776377952755906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16-4DDA-82BC-2F3370142D1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[1]Huviin!$G$30:$Q$30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10 жил дундаж</c:v>
                </c:pt>
              </c:strCache>
            </c:strRef>
          </c:cat>
          <c:val>
            <c:numRef>
              <c:f>[1]Huviin!$G$32:$Q$32</c:f>
              <c:numCache>
                <c:formatCode>General</c:formatCode>
                <c:ptCount val="11"/>
                <c:pt idx="0">
                  <c:v>22.1</c:v>
                </c:pt>
                <c:pt idx="1">
                  <c:v>24.2</c:v>
                </c:pt>
                <c:pt idx="2">
                  <c:v>24.4</c:v>
                </c:pt>
                <c:pt idx="3">
                  <c:v>24.086705444198017</c:v>
                </c:pt>
                <c:pt idx="4">
                  <c:v>24.051599421314901</c:v>
                </c:pt>
                <c:pt idx="5">
                  <c:v>24.2</c:v>
                </c:pt>
                <c:pt idx="6">
                  <c:v>26.9</c:v>
                </c:pt>
                <c:pt idx="7">
                  <c:v>19.000283205890682</c:v>
                </c:pt>
                <c:pt idx="8">
                  <c:v>24.813527287454857</c:v>
                </c:pt>
                <c:pt idx="9">
                  <c:v>25.500118873756072</c:v>
                </c:pt>
                <c:pt idx="10">
                  <c:v>23.925223423261453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16-4DDA-82BC-2F3370142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353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43539600"/>
        <c:crosses val="autoZero"/>
        <c:crossBetween val="between"/>
        <c:majorUnit val="2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70082967301123"/>
          <c:y val="3.1482541499713794E-2"/>
          <c:w val="0.71643736333836749"/>
          <c:h val="0.90560961648540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B7DDB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[1]Sheet1!$A$10:$A$36</c:f>
              <c:strCache>
                <c:ptCount val="27"/>
                <c:pt idx="0">
                  <c:v>Зоонозын өвчний</c:v>
                </c:pt>
                <c:pt idx="1">
                  <c:v>Настны </c:v>
                </c:pt>
                <c:pt idx="2">
                  <c:v>Харшлын</c:v>
                </c:pt>
                <c:pt idx="3">
                  <c:v>Арьсны </c:v>
                </c:pt>
                <c:pt idx="4">
                  <c:v>Сэргээн засахаын </c:v>
                </c:pt>
                <c:pt idx="5">
                  <c:v>Хавдрын </c:v>
                </c:pt>
                <c:pt idx="6">
                  <c:v>Анатомын эмгэг судлал</c:v>
                </c:pt>
                <c:pt idx="7">
                  <c:v>Чих хамар хоолойн</c:v>
                </c:pt>
                <c:pt idx="8">
                  <c:v>Яаралтай тусламжийн</c:v>
                </c:pt>
                <c:pt idx="9">
                  <c:v>Нүдний</c:v>
                </c:pt>
                <c:pt idx="10">
                  <c:v>Сүрьеэгийн </c:v>
                </c:pt>
                <c:pt idx="11">
                  <c:v>Сэтгэцийн </c:v>
                </c:pt>
                <c:pt idx="12">
                  <c:v>Халдвартын </c:v>
                </c:pt>
                <c:pt idx="13">
                  <c:v>Уламжлалт анагаахын </c:v>
                </c:pt>
                <c:pt idx="14">
                  <c:v>Мэдрэлийн </c:v>
                </c:pt>
                <c:pt idx="15">
                  <c:v>Эрчимт эмчилгээний</c:v>
                </c:pt>
                <c:pt idx="16">
                  <c:v>Эмнэлзүйн эмгэг судлал</c:v>
                </c:pt>
                <c:pt idx="17">
                  <c:v>Гэмтлийн </c:v>
                </c:pt>
                <c:pt idx="18">
                  <c:v>Мэдээгүйжүүлэгийн</c:v>
                </c:pt>
                <c:pt idx="19">
                  <c:v>Дүрс оношлогооны</c:v>
                </c:pt>
                <c:pt idx="20">
                  <c:v>Хүүхдийн</c:v>
                </c:pt>
                <c:pt idx="21">
                  <c:v>Шүдний</c:v>
                </c:pt>
                <c:pt idx="22">
                  <c:v>Бусад</c:v>
                </c:pt>
                <c:pt idx="23">
                  <c:v>Мэс заслын </c:v>
                </c:pt>
                <c:pt idx="24">
                  <c:v>Ерөнхий мэргэжлийн</c:v>
                </c:pt>
                <c:pt idx="25">
                  <c:v>Эх барих эмэгтэйчүүдийн</c:v>
                </c:pt>
                <c:pt idx="26">
                  <c:v>Дотрын</c:v>
                </c:pt>
              </c:strCache>
            </c:strRef>
          </c:cat>
          <c:val>
            <c:numRef>
              <c:f>[1]Sheet1!$C$10:$C$36</c:f>
              <c:numCache>
                <c:formatCode>General</c:formatCode>
                <c:ptCount val="27"/>
                <c:pt idx="0">
                  <c:v>0.17953321364452424</c:v>
                </c:pt>
                <c:pt idx="1">
                  <c:v>0.53859964093357271</c:v>
                </c:pt>
                <c:pt idx="2">
                  <c:v>0.71813285457809695</c:v>
                </c:pt>
                <c:pt idx="3">
                  <c:v>0.89766606822262118</c:v>
                </c:pt>
                <c:pt idx="4">
                  <c:v>1.0771992818671454</c:v>
                </c:pt>
                <c:pt idx="5">
                  <c:v>1.0771992818671454</c:v>
                </c:pt>
                <c:pt idx="6">
                  <c:v>1.4362657091561939</c:v>
                </c:pt>
                <c:pt idx="7">
                  <c:v>1.7953321364452424</c:v>
                </c:pt>
                <c:pt idx="8">
                  <c:v>1.9748653500897666</c:v>
                </c:pt>
                <c:pt idx="9">
                  <c:v>2.1543985637342908</c:v>
                </c:pt>
                <c:pt idx="10">
                  <c:v>2.3339317773788153</c:v>
                </c:pt>
                <c:pt idx="11">
                  <c:v>2.3339317773788153</c:v>
                </c:pt>
                <c:pt idx="12">
                  <c:v>2.8725314183123878</c:v>
                </c:pt>
                <c:pt idx="13">
                  <c:v>3.0520646319569122</c:v>
                </c:pt>
                <c:pt idx="14">
                  <c:v>3.0520646319569122</c:v>
                </c:pt>
                <c:pt idx="15">
                  <c:v>3.2315978456014363</c:v>
                </c:pt>
                <c:pt idx="16">
                  <c:v>3.5906642728904847</c:v>
                </c:pt>
                <c:pt idx="17">
                  <c:v>3.7701974865350092</c:v>
                </c:pt>
                <c:pt idx="18">
                  <c:v>4.1292639138240572</c:v>
                </c:pt>
                <c:pt idx="19">
                  <c:v>5.7450628366247756</c:v>
                </c:pt>
                <c:pt idx="20">
                  <c:v>5.7450628366247756</c:v>
                </c:pt>
                <c:pt idx="21">
                  <c:v>6.1041292639138245</c:v>
                </c:pt>
                <c:pt idx="22">
                  <c:v>6.642728904847397</c:v>
                </c:pt>
                <c:pt idx="23">
                  <c:v>6.8222621184919214</c:v>
                </c:pt>
                <c:pt idx="24">
                  <c:v>8.4380610412926398</c:v>
                </c:pt>
                <c:pt idx="25">
                  <c:v>8.4380610412926398</c:v>
                </c:pt>
                <c:pt idx="26">
                  <c:v>11.8491921005386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CA-4423-B8A7-FF0C8205E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71938880"/>
        <c:axId val="1"/>
      </c:barChart>
      <c:catAx>
        <c:axId val="371938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1938880"/>
        <c:crosses val="autoZero"/>
        <c:crossBetween val="between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'4.46'!$A$7</c:f>
              <c:strCache>
                <c:ptCount val="1"/>
                <c:pt idx="0">
                  <c:v>Эмнэлгийн орны тоо</c:v>
                </c:pt>
              </c:strCache>
            </c:strRef>
          </c:tx>
          <c:spPr>
            <a:noFill/>
            <a:ln w="19050">
              <a:solidFill>
                <a:srgbClr val="184AD8">
                  <a:alpha val="68000"/>
                </a:srgb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'4.46'!$G$6:$Q$6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'4.46'!$G$7:$Q$7</c:f>
              <c:numCache>
                <c:formatCode>General</c:formatCode>
                <c:ptCount val="11"/>
                <c:pt idx="0">
                  <c:v>5262</c:v>
                </c:pt>
                <c:pt idx="1">
                  <c:v>5611</c:v>
                </c:pt>
                <c:pt idx="2">
                  <c:v>5756</c:v>
                </c:pt>
                <c:pt idx="3">
                  <c:v>5985</c:v>
                </c:pt>
                <c:pt idx="4">
                  <c:v>6205</c:v>
                </c:pt>
                <c:pt idx="5">
                  <c:v>7291</c:v>
                </c:pt>
                <c:pt idx="6">
                  <c:v>6709</c:v>
                </c:pt>
                <c:pt idx="7">
                  <c:v>7352</c:v>
                </c:pt>
                <c:pt idx="8">
                  <c:v>7508</c:v>
                </c:pt>
                <c:pt idx="9">
                  <c:v>8192</c:v>
                </c:pt>
                <c:pt idx="10" formatCode="0">
                  <c:v>6587.1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7-49AF-80F5-6D082D10A2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8"/>
        <c:axId val="1765736943"/>
        <c:axId val="1765734063"/>
      </c:barChart>
      <c:lineChart>
        <c:grouping val="standard"/>
        <c:varyColors val="0"/>
        <c:ser>
          <c:idx val="1"/>
          <c:order val="1"/>
          <c:tx>
            <c:strRef>
              <c:f>'4.46'!$A$8</c:f>
              <c:strCache>
                <c:ptCount val="1"/>
                <c:pt idx="0">
                  <c:v>Нийт оронд эзлэх хувь</c:v>
                </c:pt>
              </c:strCache>
            </c:strRef>
          </c:tx>
          <c:spPr>
            <a:ln w="22225" cap="rnd">
              <a:solidFill>
                <a:srgbClr val="184AD8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'4.46'!$G$6:$Q$6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'4.46'!$G$8:$Q$8</c:f>
              <c:numCache>
                <c:formatCode>General</c:formatCode>
                <c:ptCount val="11"/>
                <c:pt idx="0">
                  <c:v>24.2</c:v>
                </c:pt>
                <c:pt idx="1">
                  <c:v>24.4</c:v>
                </c:pt>
                <c:pt idx="2" formatCode="0.0">
                  <c:v>24.086705444198017</c:v>
                </c:pt>
                <c:pt idx="3" formatCode="0.0">
                  <c:v>24.051599421314901</c:v>
                </c:pt>
                <c:pt idx="4" formatCode="0.0">
                  <c:v>24.2</c:v>
                </c:pt>
                <c:pt idx="5" formatCode="0.0">
                  <c:v>26.9</c:v>
                </c:pt>
                <c:pt idx="6" formatCode="0.0">
                  <c:v>19.000283205890682</c:v>
                </c:pt>
                <c:pt idx="7" formatCode="0.0">
                  <c:v>24.813527287454857</c:v>
                </c:pt>
                <c:pt idx="8" formatCode="0.0">
                  <c:v>25.500118873756072</c:v>
                </c:pt>
                <c:pt idx="9" formatCode="0.0">
                  <c:v>27.200584387555203</c:v>
                </c:pt>
                <c:pt idx="10" formatCode="0">
                  <c:v>24.435281862016971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7-49AF-80F5-6D082D10A2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97435583"/>
        <c:axId val="1697436063"/>
      </c:lineChart>
      <c:catAx>
        <c:axId val="1765736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5734063"/>
        <c:crosses val="autoZero"/>
        <c:auto val="1"/>
        <c:lblAlgn val="ctr"/>
        <c:lblOffset val="100"/>
        <c:noMultiLvlLbl val="0"/>
      </c:catAx>
      <c:valAx>
        <c:axId val="1765734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5736943"/>
        <c:crosses val="autoZero"/>
        <c:crossBetween val="between"/>
        <c:majorUnit val="1500"/>
      </c:valAx>
      <c:valAx>
        <c:axId val="1697436063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97435583"/>
        <c:crosses val="max"/>
        <c:crossBetween val="between"/>
        <c:majorUnit val="20"/>
      </c:valAx>
      <c:catAx>
        <c:axId val="16974355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74360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215254158318965E-2"/>
          <c:y val="5.5766793409378963E-2"/>
          <c:w val="0.88509592550931138"/>
          <c:h val="0.65955590151991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[1]Huviin!$B$50</c:f>
              <c:strCache>
                <c:ptCount val="1"/>
                <c:pt idx="0">
                  <c:v>Эмнэлэгт хэвтсэн хүний тоо</c:v>
                </c:pt>
              </c:strCache>
            </c:strRef>
          </c:tx>
          <c:spPr>
            <a:solidFill>
              <a:schemeClr val="lt1"/>
            </a:solidFill>
            <a:ln w="22225" cap="flat" cmpd="sng" algn="ctr">
              <a:solidFill>
                <a:schemeClr val="accent1"/>
              </a:solidFill>
              <a:prstDash val="solid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[1]Huviin!$G$49:$Q$49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10 жил дундаж</c:v>
                </c:pt>
              </c:strCache>
            </c:strRef>
          </c:cat>
          <c:val>
            <c:numRef>
              <c:f>[1]Huviin!$G$50:$Q$50</c:f>
              <c:numCache>
                <c:formatCode>General</c:formatCode>
                <c:ptCount val="11"/>
                <c:pt idx="0">
                  <c:v>124.6</c:v>
                </c:pt>
                <c:pt idx="1">
                  <c:v>142.1</c:v>
                </c:pt>
                <c:pt idx="2">
                  <c:v>159.19999999999999</c:v>
                </c:pt>
                <c:pt idx="3">
                  <c:v>167.9</c:v>
                </c:pt>
                <c:pt idx="4">
                  <c:v>177.5</c:v>
                </c:pt>
                <c:pt idx="5">
                  <c:v>181.9</c:v>
                </c:pt>
                <c:pt idx="6">
                  <c:v>184.1</c:v>
                </c:pt>
                <c:pt idx="7">
                  <c:v>197.8</c:v>
                </c:pt>
                <c:pt idx="8">
                  <c:v>218.9</c:v>
                </c:pt>
                <c:pt idx="9">
                  <c:v>238.3</c:v>
                </c:pt>
                <c:pt idx="10">
                  <c:v>179.23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9-406D-8E38-0E6102BCA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343534192"/>
        <c:axId val="1"/>
      </c:barChart>
      <c:lineChart>
        <c:grouping val="standard"/>
        <c:varyColors val="0"/>
        <c:ser>
          <c:idx val="1"/>
          <c:order val="1"/>
          <c:tx>
            <c:strRef>
              <c:f>[1]Huviin!$B$51</c:f>
              <c:strCache>
                <c:ptCount val="1"/>
                <c:pt idx="0">
                  <c:v>Дундаж ор хоног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[1]Huviin!$G$49:$Q$49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10 жил дундаж</c:v>
                </c:pt>
              </c:strCache>
            </c:strRef>
          </c:cat>
          <c:val>
            <c:numRef>
              <c:f>[1]Huviin!$G$51:$Q$51</c:f>
              <c:numCache>
                <c:formatCode>General</c:formatCode>
                <c:ptCount val="11"/>
                <c:pt idx="0">
                  <c:v>7.3</c:v>
                </c:pt>
                <c:pt idx="1">
                  <c:v>7</c:v>
                </c:pt>
                <c:pt idx="2">
                  <c:v>7.2</c:v>
                </c:pt>
                <c:pt idx="3">
                  <c:v>6.9629131265740636</c:v>
                </c:pt>
                <c:pt idx="4">
                  <c:v>6.9661956595226826</c:v>
                </c:pt>
                <c:pt idx="5">
                  <c:v>6.9</c:v>
                </c:pt>
                <c:pt idx="6">
                  <c:v>6.7</c:v>
                </c:pt>
                <c:pt idx="7">
                  <c:v>6.6</c:v>
                </c:pt>
                <c:pt idx="8">
                  <c:v>6.3</c:v>
                </c:pt>
                <c:pt idx="9">
                  <c:v>6.3</c:v>
                </c:pt>
                <c:pt idx="10">
                  <c:v>6.8229108786096742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B9-406D-8E38-0E6102BCA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353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35341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5.5"/>
        </c:scaling>
        <c:delete val="0"/>
        <c:axPos val="r"/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0.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2764685664291965"/>
          <c:y val="0.89186351706036737"/>
          <c:w val="0.4478808898887639"/>
          <c:h val="7.480314960629921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'4.47'!$A$5</c:f>
              <c:strCache>
                <c:ptCount val="1"/>
                <c:pt idx="0">
                  <c:v>Эмнэлэгт хэвтсэн хүний тоо</c:v>
                </c:pt>
              </c:strCache>
            </c:strRef>
          </c:tx>
          <c:spPr>
            <a:noFill/>
            <a:ln w="15875">
              <a:solidFill>
                <a:srgbClr val="184AD8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'4.47'!$G$4:$Q$4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'4.47'!$G$5:$Q$5</c:f>
              <c:numCache>
                <c:formatCode>#,##0.0</c:formatCode>
                <c:ptCount val="11"/>
                <c:pt idx="0">
                  <c:v>142.1</c:v>
                </c:pt>
                <c:pt idx="1">
                  <c:v>159.19999999999999</c:v>
                </c:pt>
                <c:pt idx="2">
                  <c:v>167.9</c:v>
                </c:pt>
                <c:pt idx="3">
                  <c:v>177.5</c:v>
                </c:pt>
                <c:pt idx="4">
                  <c:v>181.9</c:v>
                </c:pt>
                <c:pt idx="5">
                  <c:v>184.1</c:v>
                </c:pt>
                <c:pt idx="6">
                  <c:v>197.8</c:v>
                </c:pt>
                <c:pt idx="7" formatCode="General">
                  <c:v>218.9</c:v>
                </c:pt>
                <c:pt idx="8" formatCode="General">
                  <c:v>238.3</c:v>
                </c:pt>
                <c:pt idx="9" formatCode="General">
                  <c:v>238.7</c:v>
                </c:pt>
                <c:pt idx="10" formatCode="0.0">
                  <c:v>190.64000000000001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D-4FEC-B4DA-77492D816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axId val="1866688015"/>
        <c:axId val="1866689455"/>
      </c:barChart>
      <c:lineChart>
        <c:grouping val="standard"/>
        <c:varyColors val="0"/>
        <c:ser>
          <c:idx val="1"/>
          <c:order val="1"/>
          <c:tx>
            <c:strRef>
              <c:f>'4.47'!$A$6</c:f>
              <c:strCache>
                <c:ptCount val="1"/>
                <c:pt idx="0">
                  <c:v>Дундаж ор хоног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'4.47'!$G$4:$Q$4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'4.47'!$G$6:$Q$6</c:f>
              <c:numCache>
                <c:formatCode>0.0</c:formatCode>
                <c:ptCount val="11"/>
                <c:pt idx="0">
                  <c:v>7</c:v>
                </c:pt>
                <c:pt idx="1">
                  <c:v>7.2</c:v>
                </c:pt>
                <c:pt idx="2">
                  <c:v>6.9629131265740636</c:v>
                </c:pt>
                <c:pt idx="3">
                  <c:v>6.9661956595226826</c:v>
                </c:pt>
                <c:pt idx="4">
                  <c:v>6.9</c:v>
                </c:pt>
                <c:pt idx="5">
                  <c:v>6.7</c:v>
                </c:pt>
                <c:pt idx="6">
                  <c:v>6.6</c:v>
                </c:pt>
                <c:pt idx="7" formatCode="General">
                  <c:v>6.3</c:v>
                </c:pt>
                <c:pt idx="8" formatCode="General">
                  <c:v>6.3</c:v>
                </c:pt>
                <c:pt idx="9">
                  <c:v>6</c:v>
                </c:pt>
                <c:pt idx="10">
                  <c:v>6.6929108786096752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2D-4FEC-B4DA-77492D816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6693775"/>
        <c:axId val="1866680815"/>
      </c:lineChart>
      <c:catAx>
        <c:axId val="1866688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66689455"/>
        <c:crosses val="autoZero"/>
        <c:auto val="1"/>
        <c:lblAlgn val="ctr"/>
        <c:lblOffset val="100"/>
        <c:noMultiLvlLbl val="0"/>
      </c:catAx>
      <c:valAx>
        <c:axId val="1866689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66688015"/>
        <c:crosses val="autoZero"/>
        <c:crossBetween val="between"/>
      </c:valAx>
      <c:valAx>
        <c:axId val="1866680815"/>
        <c:scaling>
          <c:orientation val="minMax"/>
          <c:max val="7.5"/>
          <c:min val="5.5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66693775"/>
        <c:crosses val="max"/>
        <c:crossBetween val="between"/>
        <c:majorUnit val="0.5"/>
      </c:valAx>
      <c:catAx>
        <c:axId val="18666937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66808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[1]Huviin!$B$62</c:f>
              <c:strCache>
                <c:ptCount val="1"/>
                <c:pt idx="0">
                  <c:v>Амбулаторийн үзлэгийн тоо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[1]Huviin!$G$61:$Q$61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10 жил дундаж</c:v>
                </c:pt>
              </c:strCache>
            </c:strRef>
          </c:cat>
          <c:val>
            <c:numRef>
              <c:f>[1]Huviin!$G$62:$Q$62</c:f>
              <c:numCache>
                <c:formatCode>General</c:formatCode>
                <c:ptCount val="11"/>
                <c:pt idx="0">
                  <c:v>1786.6</c:v>
                </c:pt>
                <c:pt idx="1">
                  <c:v>1912.7</c:v>
                </c:pt>
                <c:pt idx="2">
                  <c:v>2063.5</c:v>
                </c:pt>
                <c:pt idx="3">
                  <c:v>2269.1</c:v>
                </c:pt>
                <c:pt idx="4">
                  <c:v>2485.9</c:v>
                </c:pt>
                <c:pt idx="5">
                  <c:v>2794.3</c:v>
                </c:pt>
                <c:pt idx="6">
                  <c:v>2419.5</c:v>
                </c:pt>
                <c:pt idx="7">
                  <c:v>2602.3000000000002</c:v>
                </c:pt>
                <c:pt idx="8">
                  <c:v>3342</c:v>
                </c:pt>
                <c:pt idx="9">
                  <c:v>3891.3</c:v>
                </c:pt>
                <c:pt idx="10">
                  <c:v>2556.7199999999998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1-4880-AB5E-BDBF9F40E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-27"/>
        <c:axId val="1660152063"/>
        <c:axId val="1"/>
      </c:barChart>
      <c:catAx>
        <c:axId val="1660152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0152063"/>
        <c:crosses val="autoZero"/>
        <c:crossBetween val="between"/>
        <c:maj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'4.48'!$A$18</c:f>
              <c:strCache>
                <c:ptCount val="1"/>
                <c:pt idx="0">
                  <c:v>Амбулаторийн үзлэгийн тоо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'4.48'!$G$17:$Q$17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'4.48'!$G$18:$Q$18</c:f>
              <c:numCache>
                <c:formatCode>#,##0.0</c:formatCode>
                <c:ptCount val="11"/>
                <c:pt idx="0">
                  <c:v>1912.7</c:v>
                </c:pt>
                <c:pt idx="1">
                  <c:v>2063.5</c:v>
                </c:pt>
                <c:pt idx="2">
                  <c:v>2269.1</c:v>
                </c:pt>
                <c:pt idx="3">
                  <c:v>2485.9</c:v>
                </c:pt>
                <c:pt idx="4">
                  <c:v>2794.3</c:v>
                </c:pt>
                <c:pt idx="5">
                  <c:v>2419.5</c:v>
                </c:pt>
                <c:pt idx="6">
                  <c:v>2602.3000000000002</c:v>
                </c:pt>
                <c:pt idx="7" formatCode="_-* #,##0.0_₮_-;\-* #,##0.0_₮_-;_-* &quot;-&quot;??_₮_-;_-@_-">
                  <c:v>3342</c:v>
                </c:pt>
                <c:pt idx="8" formatCode="_-* #,##0.0_₮_-;\-* #,##0.0_₮_-;_-* &quot;-&quot;??_₮_-;_-@_-">
                  <c:v>3891.3</c:v>
                </c:pt>
                <c:pt idx="9" formatCode="_-* #,##0.0_₮_-;\-* #,##0.0_₮_-;_-* &quot;-&quot;??_₮_-;_-@_-">
                  <c:v>4177.5140000000001</c:v>
                </c:pt>
                <c:pt idx="10" formatCode="_-* #,##0.0_₮_-;\-* #,##0.0_₮_-;_-* &quot;-&quot;??_₮_-;_-@_-">
                  <c:v>2795.8113999999996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B4-497A-B5C2-ABAC4F32B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6"/>
        <c:axId val="608388847"/>
        <c:axId val="608411887"/>
      </c:barChart>
      <c:catAx>
        <c:axId val="6083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8411887"/>
        <c:crosses val="autoZero"/>
        <c:auto val="1"/>
        <c:lblAlgn val="ctr"/>
        <c:lblOffset val="100"/>
        <c:noMultiLvlLbl val="0"/>
      </c:catAx>
      <c:valAx>
        <c:axId val="608411887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8388847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>
          <a:outerShdw blurRad="50800" dist="50800" algn="ctr" rotWithShape="0">
            <a:srgbClr val="000000">
              <a:alpha val="43137"/>
            </a:srgbClr>
          </a:outerShdw>
        </a:effectLst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187AF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'4.33'!$A$38:$A$64</c:f>
              <c:strCache>
                <c:ptCount val="27"/>
                <c:pt idx="0">
                  <c:v>Зоонозын өвчний</c:v>
                </c:pt>
                <c:pt idx="1">
                  <c:v>Харшлын</c:v>
                </c:pt>
                <c:pt idx="2">
                  <c:v>Настны </c:v>
                </c:pt>
                <c:pt idx="3">
                  <c:v>Сэргээн засахаын </c:v>
                </c:pt>
                <c:pt idx="4">
                  <c:v>Арьсны </c:v>
                </c:pt>
                <c:pt idx="5">
                  <c:v>Анатомын эмгэг судлал</c:v>
                </c:pt>
                <c:pt idx="6">
                  <c:v>Хавдрын </c:v>
                </c:pt>
                <c:pt idx="7">
                  <c:v>Чих хамар хоолойн</c:v>
                </c:pt>
                <c:pt idx="8">
                  <c:v>Сэтгэцийн </c:v>
                </c:pt>
                <c:pt idx="9">
                  <c:v>Сүрьеэгийн </c:v>
                </c:pt>
                <c:pt idx="10">
                  <c:v>Яаралтай тусламжийн</c:v>
                </c:pt>
                <c:pt idx="11">
                  <c:v>Нүдний</c:v>
                </c:pt>
                <c:pt idx="12">
                  <c:v>Халдвартын </c:v>
                </c:pt>
                <c:pt idx="13">
                  <c:v>Мэдрэлийн </c:v>
                </c:pt>
                <c:pt idx="14">
                  <c:v>Уламжлалт анагаахын </c:v>
                </c:pt>
                <c:pt idx="15">
                  <c:v>Эмнэлзүйн эмгэг судлал</c:v>
                </c:pt>
                <c:pt idx="16">
                  <c:v>Мэдээгүйжүүлэгийн</c:v>
                </c:pt>
                <c:pt idx="17">
                  <c:v>Бусад</c:v>
                </c:pt>
                <c:pt idx="18">
                  <c:v>Эрчимт эмчилгээний</c:v>
                </c:pt>
                <c:pt idx="19">
                  <c:v>Гэмтлийн </c:v>
                </c:pt>
                <c:pt idx="20">
                  <c:v>Мэс заслын </c:v>
                </c:pt>
                <c:pt idx="21">
                  <c:v>Ерөнхий мэргэжлийн</c:v>
                </c:pt>
                <c:pt idx="22">
                  <c:v>Дүрс оношлогооны</c:v>
                </c:pt>
                <c:pt idx="23">
                  <c:v>Шүдний</c:v>
                </c:pt>
                <c:pt idx="24">
                  <c:v>Эх барих эмэгтэйчүүдийн</c:v>
                </c:pt>
                <c:pt idx="25">
                  <c:v>Хүүхдийн</c:v>
                </c:pt>
                <c:pt idx="26">
                  <c:v>Дотрын</c:v>
                </c:pt>
              </c:strCache>
            </c:strRef>
          </c:cat>
          <c:val>
            <c:numRef>
              <c:f>'4.33'!$C$38:$C$64</c:f>
              <c:numCache>
                <c:formatCode>0.0</c:formatCode>
                <c:ptCount val="27"/>
                <c:pt idx="0">
                  <c:v>0.18050541516245489</c:v>
                </c:pt>
                <c:pt idx="1">
                  <c:v>0.18050541516245489</c:v>
                </c:pt>
                <c:pt idx="2">
                  <c:v>0.54151624548736466</c:v>
                </c:pt>
                <c:pt idx="3">
                  <c:v>0.90252707581227432</c:v>
                </c:pt>
                <c:pt idx="4">
                  <c:v>1.4440433212996391</c:v>
                </c:pt>
                <c:pt idx="5">
                  <c:v>1.4440433212996391</c:v>
                </c:pt>
                <c:pt idx="6">
                  <c:v>1.6245487364620939</c:v>
                </c:pt>
                <c:pt idx="7">
                  <c:v>1.9855595667870036</c:v>
                </c:pt>
                <c:pt idx="8">
                  <c:v>1.9855595667870036</c:v>
                </c:pt>
                <c:pt idx="9">
                  <c:v>2.1660649819494586</c:v>
                </c:pt>
                <c:pt idx="10">
                  <c:v>2.3465703971119134</c:v>
                </c:pt>
                <c:pt idx="11">
                  <c:v>2.3465703971119134</c:v>
                </c:pt>
                <c:pt idx="12">
                  <c:v>2.3465703971119134</c:v>
                </c:pt>
                <c:pt idx="13">
                  <c:v>3.2490974729241877</c:v>
                </c:pt>
                <c:pt idx="14">
                  <c:v>3.6101083032490973</c:v>
                </c:pt>
                <c:pt idx="15">
                  <c:v>3.6101083032490973</c:v>
                </c:pt>
                <c:pt idx="16">
                  <c:v>3.9711191335740073</c:v>
                </c:pt>
                <c:pt idx="17">
                  <c:v>4.1516245487364625</c:v>
                </c:pt>
                <c:pt idx="18">
                  <c:v>4.3321299638989172</c:v>
                </c:pt>
                <c:pt idx="19">
                  <c:v>4.3321299638989172</c:v>
                </c:pt>
                <c:pt idx="20">
                  <c:v>5.7761732851985563</c:v>
                </c:pt>
                <c:pt idx="21">
                  <c:v>5.7761732851985563</c:v>
                </c:pt>
                <c:pt idx="22">
                  <c:v>6.4981949458483754</c:v>
                </c:pt>
                <c:pt idx="23">
                  <c:v>6.4981949458483754</c:v>
                </c:pt>
                <c:pt idx="24">
                  <c:v>8.3032490974729249</c:v>
                </c:pt>
                <c:pt idx="25">
                  <c:v>8.8447653429602884</c:v>
                </c:pt>
                <c:pt idx="26">
                  <c:v>11.552346570397113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D-4859-BF52-61D57CE43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gapDepth val="0"/>
        <c:shape val="box"/>
        <c:axId val="1523267119"/>
        <c:axId val="1518391647"/>
        <c:axId val="0"/>
      </c:bar3DChart>
      <c:catAx>
        <c:axId val="15232671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18391647"/>
        <c:crosses val="autoZero"/>
        <c:auto val="1"/>
        <c:lblAlgn val="ctr"/>
        <c:lblOffset val="100"/>
        <c:noMultiLvlLbl val="0"/>
      </c:catAx>
      <c:valAx>
        <c:axId val="151839164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267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B7DDB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[1]Sheet2!$A$8:$A$28</c:f>
              <c:strCache>
                <c:ptCount val="21"/>
                <c:pt idx="0">
                  <c:v>Арьсны</c:v>
                </c:pt>
                <c:pt idx="1">
                  <c:v>Нүдний</c:v>
                </c:pt>
                <c:pt idx="2">
                  <c:v>Цус, хавдрын </c:v>
                </c:pt>
                <c:pt idx="3">
                  <c:v>Мэдрэлийн </c:v>
                </c:pt>
                <c:pt idx="4">
                  <c:v>Чих, хамар, хоолойн</c:v>
                </c:pt>
                <c:pt idx="5">
                  <c:v>Нүүр амны </c:v>
                </c:pt>
                <c:pt idx="6">
                  <c:v>Дархлаажуулалтын</c:v>
                </c:pt>
                <c:pt idx="7">
                  <c:v>Гэмтэл, согогийн</c:v>
                </c:pt>
                <c:pt idx="8">
                  <c:v>Сэтгэцийн </c:v>
                </c:pt>
                <c:pt idx="9">
                  <c:v>Уламжлалт анагаахын</c:v>
                </c:pt>
                <c:pt idx="10">
                  <c:v>Халдвартын </c:v>
                </c:pt>
                <c:pt idx="11">
                  <c:v>Хөнгөвчлөх эмчилгээний</c:v>
                </c:pt>
                <c:pt idx="12">
                  <c:v>Сэргээн засахын </c:v>
                </c:pt>
                <c:pt idx="13">
                  <c:v>Яаралтай тусламжийн </c:v>
                </c:pt>
                <c:pt idx="14">
                  <c:v>Эрчимт эмчилгээний</c:v>
                </c:pt>
                <c:pt idx="15">
                  <c:v>Нярайн </c:v>
                </c:pt>
                <c:pt idx="16">
                  <c:v>Мэдээгүйжүүлэг</c:v>
                </c:pt>
                <c:pt idx="17">
                  <c:v>Хүүхдийн </c:v>
                </c:pt>
                <c:pt idx="18">
                  <c:v>Мэс заслын</c:v>
                </c:pt>
                <c:pt idx="19">
                  <c:v>Бусад</c:v>
                </c:pt>
                <c:pt idx="20">
                  <c:v>Ерөнхий мэргэжлийн </c:v>
                </c:pt>
              </c:strCache>
            </c:strRef>
          </c:cat>
          <c:val>
            <c:numRef>
              <c:f>[1]Sheet2!$C$8:$C$28</c:f>
              <c:numCache>
                <c:formatCode>General</c:formatCode>
                <c:ptCount val="21"/>
                <c:pt idx="0">
                  <c:v>0.875</c:v>
                </c:pt>
                <c:pt idx="1">
                  <c:v>1.125</c:v>
                </c:pt>
                <c:pt idx="2">
                  <c:v>1.125</c:v>
                </c:pt>
                <c:pt idx="3">
                  <c:v>1.25</c:v>
                </c:pt>
                <c:pt idx="4">
                  <c:v>1.25</c:v>
                </c:pt>
                <c:pt idx="5">
                  <c:v>1.875</c:v>
                </c:pt>
                <c:pt idx="6">
                  <c:v>1.875</c:v>
                </c:pt>
                <c:pt idx="7">
                  <c:v>2.5</c:v>
                </c:pt>
                <c:pt idx="8">
                  <c:v>2.625</c:v>
                </c:pt>
                <c:pt idx="9">
                  <c:v>2.75</c:v>
                </c:pt>
                <c:pt idx="10">
                  <c:v>2.75</c:v>
                </c:pt>
                <c:pt idx="11">
                  <c:v>3.125</c:v>
                </c:pt>
                <c:pt idx="12">
                  <c:v>3.25</c:v>
                </c:pt>
                <c:pt idx="13">
                  <c:v>3.625</c:v>
                </c:pt>
                <c:pt idx="14">
                  <c:v>4.375</c:v>
                </c:pt>
                <c:pt idx="15">
                  <c:v>5</c:v>
                </c:pt>
                <c:pt idx="16">
                  <c:v>6.125</c:v>
                </c:pt>
                <c:pt idx="17">
                  <c:v>6.5</c:v>
                </c:pt>
                <c:pt idx="18">
                  <c:v>10</c:v>
                </c:pt>
                <c:pt idx="19">
                  <c:v>13.375</c:v>
                </c:pt>
                <c:pt idx="20">
                  <c:v>24.625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2-4DB2-BB2E-5DB07AD06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71928896"/>
        <c:axId val="1"/>
      </c:barChart>
      <c:catAx>
        <c:axId val="371928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1928896"/>
        <c:crosses val="autoZero"/>
        <c:crossBetween val="between"/>
      </c:valAx>
      <c:spPr>
        <a:noFill/>
        <a:ln w="25400">
          <a:noFill/>
        </a:ln>
        <a:effectLst>
          <a:softEdge rad="101600"/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91072875149866"/>
          <c:y val="2.5889967637540454E-2"/>
          <c:w val="0.72715725349146176"/>
          <c:h val="0.905917212155709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187A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'4.34'!$A$29:$A$50</c:f>
              <c:strCache>
                <c:ptCount val="22"/>
                <c:pt idx="0">
                  <c:v>Өрхийн</c:v>
                </c:pt>
                <c:pt idx="1">
                  <c:v>Арьсны</c:v>
                </c:pt>
                <c:pt idx="2">
                  <c:v>Нүдний</c:v>
                </c:pt>
                <c:pt idx="3">
                  <c:v>Цус, хавдрын </c:v>
                </c:pt>
                <c:pt idx="4">
                  <c:v>Нүүр амны </c:v>
                </c:pt>
                <c:pt idx="5">
                  <c:v>Чих, хамар, хоолойн</c:v>
                </c:pt>
                <c:pt idx="6">
                  <c:v>Мэдрэлийн </c:v>
                </c:pt>
                <c:pt idx="7">
                  <c:v>Дархлаажуулалтын</c:v>
                </c:pt>
                <c:pt idx="8">
                  <c:v>Халдвартын </c:v>
                </c:pt>
                <c:pt idx="9">
                  <c:v>Хөнгөвчлөх эмчилгээний</c:v>
                </c:pt>
                <c:pt idx="10">
                  <c:v>Гэмтэл, согогийн</c:v>
                </c:pt>
                <c:pt idx="11">
                  <c:v>Сэтгэцийн </c:v>
                </c:pt>
                <c:pt idx="12">
                  <c:v>Уламжлалт анагаахын</c:v>
                </c:pt>
                <c:pt idx="13">
                  <c:v>Сэргээн засахын </c:v>
                </c:pt>
                <c:pt idx="14">
                  <c:v>Яаралтай тусламжийн </c:v>
                </c:pt>
                <c:pt idx="15">
                  <c:v>Эрчимт эмчилгээний</c:v>
                </c:pt>
                <c:pt idx="16">
                  <c:v>Хүүхдийн </c:v>
                </c:pt>
                <c:pt idx="17">
                  <c:v>Нярайн </c:v>
                </c:pt>
                <c:pt idx="18">
                  <c:v>Мэдээгүйжүүлэг</c:v>
                </c:pt>
                <c:pt idx="19">
                  <c:v>Мэс заслын</c:v>
                </c:pt>
                <c:pt idx="20">
                  <c:v>Бусад</c:v>
                </c:pt>
                <c:pt idx="21">
                  <c:v>Ерөнхий мэргэжлийн </c:v>
                </c:pt>
              </c:strCache>
            </c:strRef>
          </c:cat>
          <c:val>
            <c:numRef>
              <c:f>'4.34'!$C$29:$C$50</c:f>
              <c:numCache>
                <c:formatCode>0.0</c:formatCode>
                <c:ptCount val="22"/>
                <c:pt idx="0">
                  <c:v>0.1</c:v>
                </c:pt>
                <c:pt idx="1">
                  <c:v>0.7</c:v>
                </c:pt>
                <c:pt idx="2">
                  <c:v>1</c:v>
                </c:pt>
                <c:pt idx="3">
                  <c:v>1.1000000000000001</c:v>
                </c:pt>
                <c:pt idx="4">
                  <c:v>1.2</c:v>
                </c:pt>
                <c:pt idx="5">
                  <c:v>1.3</c:v>
                </c:pt>
                <c:pt idx="6">
                  <c:v>1.6</c:v>
                </c:pt>
                <c:pt idx="7">
                  <c:v>1.6</c:v>
                </c:pt>
                <c:pt idx="8">
                  <c:v>2.2999999999999998</c:v>
                </c:pt>
                <c:pt idx="9">
                  <c:v>2.2999999999999998</c:v>
                </c:pt>
                <c:pt idx="10">
                  <c:v>2.4</c:v>
                </c:pt>
                <c:pt idx="11">
                  <c:v>2.4</c:v>
                </c:pt>
                <c:pt idx="12">
                  <c:v>2.7</c:v>
                </c:pt>
                <c:pt idx="13">
                  <c:v>2.9</c:v>
                </c:pt>
                <c:pt idx="14">
                  <c:v>3.9</c:v>
                </c:pt>
                <c:pt idx="15">
                  <c:v>4.7</c:v>
                </c:pt>
                <c:pt idx="16">
                  <c:v>5.3</c:v>
                </c:pt>
                <c:pt idx="17">
                  <c:v>5.5</c:v>
                </c:pt>
                <c:pt idx="18">
                  <c:v>6.1</c:v>
                </c:pt>
                <c:pt idx="19">
                  <c:v>8.1</c:v>
                </c:pt>
                <c:pt idx="20">
                  <c:v>18.100000000000001</c:v>
                </c:pt>
                <c:pt idx="21">
                  <c:v>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6-482E-8462-411CDF642E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55839088"/>
        <c:axId val="1455827568"/>
      </c:barChart>
      <c:catAx>
        <c:axId val="1455839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55827568"/>
        <c:crosses val="autoZero"/>
        <c:auto val="1"/>
        <c:lblAlgn val="ctr"/>
        <c:lblOffset val="100"/>
        <c:noMultiLvlLbl val="0"/>
      </c:catAx>
      <c:valAx>
        <c:axId val="1455827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5583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[1]BOET!$A$21</c:f>
              <c:strCache>
                <c:ptCount val="1"/>
                <c:pt idx="0">
                  <c:v>Эмнэлгийн орны тоо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[1]BOET!$F$20:$P$20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10 жил дундаж</c:v>
                </c:pt>
              </c:strCache>
            </c:strRef>
          </c:cat>
          <c:val>
            <c:numRef>
              <c:f>[1]BOET!$F$21:$P$21</c:f>
              <c:numCache>
                <c:formatCode>General</c:formatCode>
                <c:ptCount val="11"/>
                <c:pt idx="0">
                  <c:v>1470</c:v>
                </c:pt>
                <c:pt idx="1">
                  <c:v>1484</c:v>
                </c:pt>
                <c:pt idx="2">
                  <c:v>1539</c:v>
                </c:pt>
                <c:pt idx="3">
                  <c:v>1681</c:v>
                </c:pt>
                <c:pt idx="4">
                  <c:v>1682</c:v>
                </c:pt>
                <c:pt idx="5">
                  <c:v>1692</c:v>
                </c:pt>
                <c:pt idx="6">
                  <c:v>1870</c:v>
                </c:pt>
                <c:pt idx="7">
                  <c:v>2246</c:v>
                </c:pt>
                <c:pt idx="8">
                  <c:v>1914</c:v>
                </c:pt>
                <c:pt idx="9">
                  <c:v>1859</c:v>
                </c:pt>
                <c:pt idx="10">
                  <c:v>1686.3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B2-42FA-9D8B-BFAFE888A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002960"/>
        <c:axId val="1"/>
      </c:barChart>
      <c:lineChart>
        <c:grouping val="standard"/>
        <c:varyColors val="0"/>
        <c:ser>
          <c:idx val="1"/>
          <c:order val="1"/>
          <c:tx>
            <c:strRef>
              <c:f>[1]BOET!$A$22</c:f>
              <c:strCache>
                <c:ptCount val="1"/>
                <c:pt idx="0">
                  <c:v>Хэвтэн эмчлүүлэгчийн тоо /мянга/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[1]BOET!$B$20:$P$20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10 жил дундаж</c:v>
                </c:pt>
              </c:strCache>
            </c:strRef>
          </c:cat>
          <c:val>
            <c:numRef>
              <c:f>[1]BOET!$F$22:$P$22</c:f>
              <c:numCache>
                <c:formatCode>General</c:formatCode>
                <c:ptCount val="11"/>
                <c:pt idx="0">
                  <c:v>54.8</c:v>
                </c:pt>
                <c:pt idx="1">
                  <c:v>55.8</c:v>
                </c:pt>
                <c:pt idx="2">
                  <c:v>57.1</c:v>
                </c:pt>
                <c:pt idx="3">
                  <c:v>54.8</c:v>
                </c:pt>
                <c:pt idx="4">
                  <c:v>56.3</c:v>
                </c:pt>
                <c:pt idx="5">
                  <c:v>59</c:v>
                </c:pt>
                <c:pt idx="6">
                  <c:v>54.1</c:v>
                </c:pt>
                <c:pt idx="7">
                  <c:v>65.2</c:v>
                </c:pt>
                <c:pt idx="8">
                  <c:v>65</c:v>
                </c:pt>
                <c:pt idx="9">
                  <c:v>64.2</c:v>
                </c:pt>
                <c:pt idx="10">
                  <c:v>58.63000000000001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B2-42FA-9D8B-BFAFE888A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800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80029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chemeClr val="tx1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'4.35'!$A$7</c:f>
              <c:strCache>
                <c:ptCount val="1"/>
                <c:pt idx="0">
                  <c:v>Эмнэлгийн орны тоо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'4.35'!$G$6:$Q$6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'4.35'!$G$7:$Q$7</c:f>
              <c:numCache>
                <c:formatCode>General</c:formatCode>
                <c:ptCount val="11"/>
                <c:pt idx="0">
                  <c:v>1484</c:v>
                </c:pt>
                <c:pt idx="1">
                  <c:v>1539</c:v>
                </c:pt>
                <c:pt idx="2">
                  <c:v>1681</c:v>
                </c:pt>
                <c:pt idx="3">
                  <c:v>1682</c:v>
                </c:pt>
                <c:pt idx="4">
                  <c:v>1692</c:v>
                </c:pt>
                <c:pt idx="5">
                  <c:v>1870</c:v>
                </c:pt>
                <c:pt idx="6">
                  <c:v>2246</c:v>
                </c:pt>
                <c:pt idx="7">
                  <c:v>1914</c:v>
                </c:pt>
                <c:pt idx="8">
                  <c:v>1859</c:v>
                </c:pt>
                <c:pt idx="9">
                  <c:v>1801</c:v>
                </c:pt>
                <c:pt idx="10">
                  <c:v>1776.8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1-4C8B-8A04-59A23546CA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42494208"/>
        <c:axId val="2042487008"/>
      </c:barChart>
      <c:lineChart>
        <c:grouping val="standard"/>
        <c:varyColors val="0"/>
        <c:ser>
          <c:idx val="1"/>
          <c:order val="1"/>
          <c:tx>
            <c:strRef>
              <c:f>'4.35'!$A$8</c:f>
              <c:strCache>
                <c:ptCount val="1"/>
                <c:pt idx="0">
                  <c:v>Хэвтэн эмчлүүлэгчийн тоо /мянга/</c:v>
                </c:pt>
              </c:strCache>
            </c:strRef>
          </c:tx>
          <c:spPr>
            <a:ln w="15875" cap="rnd">
              <a:solidFill>
                <a:srgbClr val="187AF0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3.4008795258208685E-2"/>
                  <c:y val="-5.9517133194100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F1-4C8B-8A04-59A23546CA9A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'4.35'!$G$6:$Q$6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'4.35'!$G$8:$Q$8</c:f>
              <c:numCache>
                <c:formatCode>0.0</c:formatCode>
                <c:ptCount val="11"/>
                <c:pt idx="0">
                  <c:v>55.8</c:v>
                </c:pt>
                <c:pt idx="1">
                  <c:v>57.1</c:v>
                </c:pt>
                <c:pt idx="2">
                  <c:v>54.8</c:v>
                </c:pt>
                <c:pt idx="3">
                  <c:v>56.3</c:v>
                </c:pt>
                <c:pt idx="4">
                  <c:v>59</c:v>
                </c:pt>
                <c:pt idx="5">
                  <c:v>54.1</c:v>
                </c:pt>
                <c:pt idx="6">
                  <c:v>65.2</c:v>
                </c:pt>
                <c:pt idx="7">
                  <c:v>65</c:v>
                </c:pt>
                <c:pt idx="8">
                  <c:v>64.2</c:v>
                </c:pt>
                <c:pt idx="9">
                  <c:v>63.3</c:v>
                </c:pt>
                <c:pt idx="10">
                  <c:v>59.48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F1-4C8B-8A04-59A23546CA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42488448"/>
        <c:axId val="2042489408"/>
      </c:lineChart>
      <c:catAx>
        <c:axId val="204249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2487008"/>
        <c:crosses val="autoZero"/>
        <c:auto val="1"/>
        <c:lblAlgn val="ctr"/>
        <c:lblOffset val="100"/>
        <c:noMultiLvlLbl val="0"/>
      </c:catAx>
      <c:valAx>
        <c:axId val="204248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2494208"/>
        <c:crosses val="autoZero"/>
        <c:crossBetween val="between"/>
      </c:valAx>
      <c:valAx>
        <c:axId val="2042489408"/>
        <c:scaling>
          <c:orientation val="minMax"/>
          <c:max val="70"/>
        </c:scaling>
        <c:delete val="0"/>
        <c:axPos val="r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2488448"/>
        <c:crosses val="max"/>
        <c:crossBetween val="between"/>
        <c:majorUnit val="10"/>
        <c:minorUnit val="2"/>
      </c:valAx>
      <c:catAx>
        <c:axId val="2042488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42489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dir="5400000" algn="ctr" rotWithShape="0">
        <a:srgbClr val="184AD8">
          <a:alpha val="32000"/>
        </a:srgb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236001469007644E-2"/>
          <c:y val="3.4188034188034191E-2"/>
          <c:w val="0.86204832226523675"/>
          <c:h val="0.503456123928564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[1]Sheet3!$B$54</c:f>
              <c:strCache>
                <c:ptCount val="1"/>
                <c:pt idx="0">
                  <c:v>Хэвтэн эмчлүүлэгчдийн хувь</c:v>
                </c:pt>
              </c:strCache>
            </c:strRef>
          </c:tx>
          <c:spPr>
            <a:solidFill>
              <a:srgbClr val="0283EE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[1]Sheet3!$A$55:$A$73</c:f>
              <c:strCache>
                <c:ptCount val="19"/>
                <c:pt idx="0">
                  <c:v>Эрүү нүүр</c:v>
                </c:pt>
                <c:pt idx="1">
                  <c:v>Сүрьеэ</c:v>
                </c:pt>
                <c:pt idx="2">
                  <c:v>Эрчимт эмчилгээ, сэхээн амьдруулах</c:v>
                </c:pt>
                <c:pt idx="3">
                  <c:v>Нүд</c:v>
                </c:pt>
                <c:pt idx="4">
                  <c:v>Хавдар</c:v>
                </c:pt>
                <c:pt idx="5">
                  <c:v>Чих, хамар хоолой</c:v>
                </c:pt>
                <c:pt idx="6">
                  <c:v>Арьс харшил</c:v>
                </c:pt>
                <c:pt idx="7">
                  <c:v>Хөнгөвчлөх эмчилгээ</c:v>
                </c:pt>
                <c:pt idx="8">
                  <c:v>Уламжлалт эмчилгээ</c:v>
                </c:pt>
                <c:pt idx="9">
                  <c:v>Халдварт</c:v>
                </c:pt>
                <c:pt idx="10">
                  <c:v>Сэтгэц</c:v>
                </c:pt>
                <c:pt idx="11">
                  <c:v>Бусад</c:v>
                </c:pt>
                <c:pt idx="12">
                  <c:v>Эмэгтэйчүүд</c:v>
                </c:pt>
                <c:pt idx="13">
                  <c:v>Гэмтэл</c:v>
                </c:pt>
                <c:pt idx="14">
                  <c:v>Мэдрэл</c:v>
                </c:pt>
                <c:pt idx="15">
                  <c:v>Мэс засал</c:v>
                </c:pt>
                <c:pt idx="16">
                  <c:v>Дотор</c:v>
                </c:pt>
                <c:pt idx="17">
                  <c:v>Төрөх</c:v>
                </c:pt>
                <c:pt idx="18">
                  <c:v>Хүүхэд</c:v>
                </c:pt>
              </c:strCache>
            </c:strRef>
          </c:cat>
          <c:val>
            <c:numRef>
              <c:f>[1]Sheet3!$B$55:$B$73</c:f>
              <c:numCache>
                <c:formatCode>General</c:formatCode>
                <c:ptCount val="19"/>
                <c:pt idx="0">
                  <c:v>0.55401014516468361</c:v>
                </c:pt>
                <c:pt idx="1">
                  <c:v>0.67088992262558733</c:v>
                </c:pt>
                <c:pt idx="2">
                  <c:v>0.77686092085680669</c:v>
                </c:pt>
                <c:pt idx="3">
                  <c:v>0.99971169654892977</c:v>
                </c:pt>
                <c:pt idx="4">
                  <c:v>1.0511387986317273</c:v>
                </c:pt>
                <c:pt idx="5">
                  <c:v>1.9347499162361594</c:v>
                </c:pt>
                <c:pt idx="6">
                  <c:v>2.2394165361509151</c:v>
                </c:pt>
                <c:pt idx="7">
                  <c:v>2.3259075714719839</c:v>
                </c:pt>
                <c:pt idx="8">
                  <c:v>3.6100267265091128</c:v>
                </c:pt>
                <c:pt idx="9">
                  <c:v>3.6466490567801957</c:v>
                </c:pt>
                <c:pt idx="10">
                  <c:v>4.2435151203472108</c:v>
                </c:pt>
                <c:pt idx="11">
                  <c:v>4.6892166717314572</c:v>
                </c:pt>
                <c:pt idx="12">
                  <c:v>4.7040214435431711</c:v>
                </c:pt>
                <c:pt idx="13">
                  <c:v>5.9577518564404652</c:v>
                </c:pt>
                <c:pt idx="14">
                  <c:v>6.1455386988943177</c:v>
                </c:pt>
                <c:pt idx="15">
                  <c:v>10.015817729883043</c:v>
                </c:pt>
                <c:pt idx="16">
                  <c:v>13.676492359958546</c:v>
                </c:pt>
                <c:pt idx="17">
                  <c:v>14.225048115508388</c:v>
                </c:pt>
                <c:pt idx="18">
                  <c:v>18.533236712717297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01-4307-B5BF-AB0762A65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172192"/>
        <c:axId val="1"/>
      </c:barChart>
      <c:lineChart>
        <c:grouping val="standard"/>
        <c:varyColors val="0"/>
        <c:ser>
          <c:idx val="1"/>
          <c:order val="1"/>
          <c:tx>
            <c:strRef>
              <c:f>[1]Sheet3!$C$54</c:f>
              <c:strCache>
                <c:ptCount val="1"/>
                <c:pt idx="0">
                  <c:v>Дундаж ор хоног 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[1]Sheet3!$A$55:$A$73</c:f>
              <c:strCache>
                <c:ptCount val="19"/>
                <c:pt idx="0">
                  <c:v>Эрүү нүүр</c:v>
                </c:pt>
                <c:pt idx="1">
                  <c:v>Сүрьеэ</c:v>
                </c:pt>
                <c:pt idx="2">
                  <c:v>Эрчимт эмчилгээ, сэхээн амьдруулах</c:v>
                </c:pt>
                <c:pt idx="3">
                  <c:v>Нүд</c:v>
                </c:pt>
                <c:pt idx="4">
                  <c:v>Хавдар</c:v>
                </c:pt>
                <c:pt idx="5">
                  <c:v>Чих, хамар хоолой</c:v>
                </c:pt>
                <c:pt idx="6">
                  <c:v>Арьс харшил</c:v>
                </c:pt>
                <c:pt idx="7">
                  <c:v>Хөнгөвчлөх эмчилгээ</c:v>
                </c:pt>
                <c:pt idx="8">
                  <c:v>Уламжлалт эмчилгээ</c:v>
                </c:pt>
                <c:pt idx="9">
                  <c:v>Халдварт</c:v>
                </c:pt>
                <c:pt idx="10">
                  <c:v>Сэтгэц</c:v>
                </c:pt>
                <c:pt idx="11">
                  <c:v>Бусад</c:v>
                </c:pt>
                <c:pt idx="12">
                  <c:v>Эмэгтэйчүүд</c:v>
                </c:pt>
                <c:pt idx="13">
                  <c:v>Гэмтэл</c:v>
                </c:pt>
                <c:pt idx="14">
                  <c:v>Мэдрэл</c:v>
                </c:pt>
                <c:pt idx="15">
                  <c:v>Мэс засал</c:v>
                </c:pt>
                <c:pt idx="16">
                  <c:v>Дотор</c:v>
                </c:pt>
                <c:pt idx="17">
                  <c:v>Төрөх</c:v>
                </c:pt>
                <c:pt idx="18">
                  <c:v>Хүүхэд</c:v>
                </c:pt>
              </c:strCache>
            </c:strRef>
          </c:cat>
          <c:val>
            <c:numRef>
              <c:f>[1]Sheet3!$C$55:$C$73</c:f>
              <c:numCache>
                <c:formatCode>General</c:formatCode>
                <c:ptCount val="19"/>
                <c:pt idx="0">
                  <c:v>6.756680731364276</c:v>
                </c:pt>
                <c:pt idx="1">
                  <c:v>24.518002322880371</c:v>
                </c:pt>
                <c:pt idx="2">
                  <c:v>10.355065195586761</c:v>
                </c:pt>
                <c:pt idx="3">
                  <c:v>6.1247077162899455</c:v>
                </c:pt>
                <c:pt idx="4">
                  <c:v>5.9733135656041512</c:v>
                </c:pt>
                <c:pt idx="5">
                  <c:v>6.401933145388643</c:v>
                </c:pt>
                <c:pt idx="6">
                  <c:v>7.5831593597773139</c:v>
                </c:pt>
                <c:pt idx="7">
                  <c:v>6.4978224455611393</c:v>
                </c:pt>
                <c:pt idx="8">
                  <c:v>7.9788473990934596</c:v>
                </c:pt>
                <c:pt idx="9">
                  <c:v>7.6170940170940167</c:v>
                </c:pt>
                <c:pt idx="10">
                  <c:v>9.8464928387807564</c:v>
                </c:pt>
                <c:pt idx="11">
                  <c:v>6.6480558325024921</c:v>
                </c:pt>
                <c:pt idx="12">
                  <c:v>7.3576279609077355</c:v>
                </c:pt>
                <c:pt idx="13">
                  <c:v>7.552968872613131</c:v>
                </c:pt>
                <c:pt idx="14">
                  <c:v>7.6505642196018764</c:v>
                </c:pt>
                <c:pt idx="15">
                  <c:v>5.3220787303563091</c:v>
                </c:pt>
                <c:pt idx="16">
                  <c:v>7.5654056517775752</c:v>
                </c:pt>
                <c:pt idx="17">
                  <c:v>3.8938431200701138</c:v>
                </c:pt>
                <c:pt idx="18">
                  <c:v>7.3350430943872187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01-4307-B5BF-AB0762A65073}"/>
            </c:ext>
          </c:extLst>
        </c:ser>
        <c:ser>
          <c:idx val="2"/>
          <c:order val="2"/>
          <c:tx>
            <c:strRef>
              <c:f>[1]Sheet3!$D$54</c:f>
              <c:strCache>
                <c:ptCount val="1"/>
                <c:pt idx="0">
                  <c:v>БОЭТ дундаж ор хоног</c:v>
                </c:pt>
              </c:strCache>
            </c:strRef>
          </c:tx>
          <c:spPr>
            <a:ln w="1270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[1]Sheet3!$A$55:$A$73</c:f>
              <c:strCache>
                <c:ptCount val="19"/>
                <c:pt idx="0">
                  <c:v>Эрүү нүүр</c:v>
                </c:pt>
                <c:pt idx="1">
                  <c:v>Сүрьеэ</c:v>
                </c:pt>
                <c:pt idx="2">
                  <c:v>Эрчимт эмчилгээ, сэхээн амьдруулах</c:v>
                </c:pt>
                <c:pt idx="3">
                  <c:v>Нүд</c:v>
                </c:pt>
                <c:pt idx="4">
                  <c:v>Хавдар</c:v>
                </c:pt>
                <c:pt idx="5">
                  <c:v>Чих, хамар хоолой</c:v>
                </c:pt>
                <c:pt idx="6">
                  <c:v>Арьс харшил</c:v>
                </c:pt>
                <c:pt idx="7">
                  <c:v>Хөнгөвчлөх эмчилгээ</c:v>
                </c:pt>
                <c:pt idx="8">
                  <c:v>Уламжлалт эмчилгээ</c:v>
                </c:pt>
                <c:pt idx="9">
                  <c:v>Халдварт</c:v>
                </c:pt>
                <c:pt idx="10">
                  <c:v>Сэтгэц</c:v>
                </c:pt>
                <c:pt idx="11">
                  <c:v>Бусад</c:v>
                </c:pt>
                <c:pt idx="12">
                  <c:v>Эмэгтэйчүүд</c:v>
                </c:pt>
                <c:pt idx="13">
                  <c:v>Гэмтэл</c:v>
                </c:pt>
                <c:pt idx="14">
                  <c:v>Мэдрэл</c:v>
                </c:pt>
                <c:pt idx="15">
                  <c:v>Мэс засал</c:v>
                </c:pt>
                <c:pt idx="16">
                  <c:v>Дотор</c:v>
                </c:pt>
                <c:pt idx="17">
                  <c:v>Төрөх</c:v>
                </c:pt>
                <c:pt idx="18">
                  <c:v>Хүүхэд</c:v>
                </c:pt>
              </c:strCache>
            </c:strRef>
          </c:cat>
          <c:val>
            <c:numRef>
              <c:f>[1]Sheet3!$D$55:$D$73</c:f>
              <c:numCache>
                <c:formatCode>General</c:formatCode>
                <c:ptCount val="19"/>
                <c:pt idx="0">
                  <c:v>6.9</c:v>
                </c:pt>
                <c:pt idx="1">
                  <c:v>6.9</c:v>
                </c:pt>
                <c:pt idx="2">
                  <c:v>6.9</c:v>
                </c:pt>
                <c:pt idx="3">
                  <c:v>6.9</c:v>
                </c:pt>
                <c:pt idx="4">
                  <c:v>6.9</c:v>
                </c:pt>
                <c:pt idx="5">
                  <c:v>6.9</c:v>
                </c:pt>
                <c:pt idx="6">
                  <c:v>6.9</c:v>
                </c:pt>
                <c:pt idx="7">
                  <c:v>6.9</c:v>
                </c:pt>
                <c:pt idx="8">
                  <c:v>6.9</c:v>
                </c:pt>
                <c:pt idx="9">
                  <c:v>6.9</c:v>
                </c:pt>
                <c:pt idx="10">
                  <c:v>6.9</c:v>
                </c:pt>
                <c:pt idx="11">
                  <c:v>6.9</c:v>
                </c:pt>
                <c:pt idx="12">
                  <c:v>6.9</c:v>
                </c:pt>
                <c:pt idx="13">
                  <c:v>6.9</c:v>
                </c:pt>
                <c:pt idx="14">
                  <c:v>6.9</c:v>
                </c:pt>
                <c:pt idx="15">
                  <c:v>6.9</c:v>
                </c:pt>
                <c:pt idx="16">
                  <c:v>6.9</c:v>
                </c:pt>
                <c:pt idx="17">
                  <c:v>6.9</c:v>
                </c:pt>
                <c:pt idx="18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01-4307-B5BF-AB0762A65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917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91721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1.tmp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2.tmp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114300</xdr:rowOff>
    </xdr:from>
    <xdr:to>
      <xdr:col>10</xdr:col>
      <xdr:colOff>171450</xdr:colOff>
      <xdr:row>11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F11AA2-71FE-46E4-9F0E-3D747D7D6C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247650</xdr:colOff>
      <xdr:row>1</xdr:row>
      <xdr:rowOff>119061</xdr:rowOff>
    </xdr:from>
    <xdr:to>
      <xdr:col>20</xdr:col>
      <xdr:colOff>314325</xdr:colOff>
      <xdr:row>12</xdr:row>
      <xdr:rowOff>104774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0ED6AC-D3FA-BA3A-A6BE-FD9B5914FC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466725</xdr:colOff>
      <xdr:row>0</xdr:row>
      <xdr:rowOff>0</xdr:rowOff>
    </xdr:from>
    <xdr:to>
      <xdr:col>28</xdr:col>
      <xdr:colOff>542925</xdr:colOff>
      <xdr:row>9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F12995-B15C-43DD-9241-CFDCACE6BC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581025</xdr:colOff>
      <xdr:row>17</xdr:row>
      <xdr:rowOff>1209675</xdr:rowOff>
    </xdr:from>
    <xdr:to>
      <xdr:col>16</xdr:col>
      <xdr:colOff>9524</xdr:colOff>
      <xdr:row>32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479D6A3-723D-AEDB-B56E-B98947615E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17</xdr:row>
      <xdr:rowOff>171450</xdr:rowOff>
    </xdr:from>
    <xdr:to>
      <xdr:col>11</xdr:col>
      <xdr:colOff>285750</xdr:colOff>
      <xdr:row>27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7659BC-BA14-44FB-BA0D-626CBD1D7C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295275</xdr:colOff>
      <xdr:row>11</xdr:row>
      <xdr:rowOff>142875</xdr:rowOff>
    </xdr:from>
    <xdr:to>
      <xdr:col>12</xdr:col>
      <xdr:colOff>104775</xdr:colOff>
      <xdr:row>20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B22E43-4A7F-5715-37B3-1C97F67EE7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20</xdr:row>
      <xdr:rowOff>95250</xdr:rowOff>
    </xdr:from>
    <xdr:to>
      <xdr:col>11</xdr:col>
      <xdr:colOff>219075</xdr:colOff>
      <xdr:row>27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BD0900-9C7F-4C9F-91F4-3018935FE3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61912</xdr:colOff>
      <xdr:row>19</xdr:row>
      <xdr:rowOff>9525</xdr:rowOff>
    </xdr:from>
    <xdr:to>
      <xdr:col>24</xdr:col>
      <xdr:colOff>57150</xdr:colOff>
      <xdr:row>27</xdr:row>
      <xdr:rowOff>133351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5DBF02A-6B13-0938-F951-74F34B5AA2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10</xdr:col>
      <xdr:colOff>76200</xdr:colOff>
      <xdr:row>11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11AE92-877E-4EF9-97DD-97105E3924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214311</xdr:colOff>
      <xdr:row>18</xdr:row>
      <xdr:rowOff>47625</xdr:rowOff>
    </xdr:from>
    <xdr:to>
      <xdr:col>17</xdr:col>
      <xdr:colOff>142874</xdr:colOff>
      <xdr:row>29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F30BEE8-B539-8C02-1697-CE68B752B9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12</xdr:row>
      <xdr:rowOff>171450</xdr:rowOff>
    </xdr:from>
    <xdr:to>
      <xdr:col>10</xdr:col>
      <xdr:colOff>295275</xdr:colOff>
      <xdr:row>23</xdr:row>
      <xdr:rowOff>4445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650A09-0EAA-4438-B48F-60F57216ED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476250</xdr:colOff>
      <xdr:row>13</xdr:row>
      <xdr:rowOff>0</xdr:rowOff>
    </xdr:from>
    <xdr:to>
      <xdr:col>21</xdr:col>
      <xdr:colOff>438150</xdr:colOff>
      <xdr:row>22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922E93-2C10-39EB-C99F-1D87D036B5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1314450</xdr:colOff>
      <xdr:row>10</xdr:row>
      <xdr:rowOff>180975</xdr:rowOff>
    </xdr:from>
    <xdr:to>
      <xdr:col>10</xdr:col>
      <xdr:colOff>257175</xdr:colOff>
      <xdr:row>24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048A12-E973-432E-B51A-2C893A2917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457199</xdr:colOff>
      <xdr:row>11</xdr:row>
      <xdr:rowOff>28575</xdr:rowOff>
    </xdr:from>
    <xdr:to>
      <xdr:col>21</xdr:col>
      <xdr:colOff>104774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C6E223C-C752-BD56-05A0-7005B14323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11</xdr:row>
      <xdr:rowOff>85725</xdr:rowOff>
    </xdr:from>
    <xdr:to>
      <xdr:col>13</xdr:col>
      <xdr:colOff>114300</xdr:colOff>
      <xdr:row>23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8C5916-1688-4FF1-B94C-C150B00DF6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590550</xdr:colOff>
      <xdr:row>22</xdr:row>
      <xdr:rowOff>171450</xdr:rowOff>
    </xdr:from>
    <xdr:to>
      <xdr:col>20</xdr:col>
      <xdr:colOff>76200</xdr:colOff>
      <xdr:row>34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983BCA-21D3-5E9D-FB13-8C242CD849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10</xdr:col>
      <xdr:colOff>76200</xdr:colOff>
      <xdr:row>12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561E48-43ED-476A-BA26-D25A12D888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466725</xdr:colOff>
      <xdr:row>2</xdr:row>
      <xdr:rowOff>109537</xdr:rowOff>
    </xdr:from>
    <xdr:to>
      <xdr:col>21</xdr:col>
      <xdr:colOff>542925</xdr:colOff>
      <xdr:row>12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67604C3-D955-7521-ACED-96E089A095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542924</xdr:colOff>
      <xdr:row>4</xdr:row>
      <xdr:rowOff>9525</xdr:rowOff>
    </xdr:from>
    <xdr:to>
      <xdr:col>17</xdr:col>
      <xdr:colOff>342899</xdr:colOff>
      <xdr:row>27</xdr:row>
      <xdr:rowOff>65405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835F36-6484-405B-90CE-16A631CE45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452437</xdr:colOff>
      <xdr:row>38</xdr:row>
      <xdr:rowOff>33336</xdr:rowOff>
    </xdr:from>
    <xdr:to>
      <xdr:col>14</xdr:col>
      <xdr:colOff>219075</xdr:colOff>
      <xdr:row>57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F45221C-3822-61D5-25F3-8F0B0131DF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3</xdr:row>
      <xdr:rowOff>28575</xdr:rowOff>
    </xdr:from>
    <xdr:to>
      <xdr:col>14</xdr:col>
      <xdr:colOff>314325</xdr:colOff>
      <xdr:row>23</xdr:row>
      <xdr:rowOff>88265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A77BAD-F244-4CBB-9DE2-1D57B1486C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24</xdr:row>
      <xdr:rowOff>152400</xdr:rowOff>
    </xdr:from>
    <xdr:to>
      <xdr:col>14</xdr:col>
      <xdr:colOff>171450</xdr:colOff>
      <xdr:row>41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231061B-4194-21D6-1C96-DC0BAA9B4D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12</xdr:row>
      <xdr:rowOff>104775</xdr:rowOff>
    </xdr:from>
    <xdr:to>
      <xdr:col>11</xdr:col>
      <xdr:colOff>133350</xdr:colOff>
      <xdr:row>28</xdr:row>
      <xdr:rowOff>98425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EDCA36-9328-464E-B240-810A0A04E1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314324</xdr:colOff>
      <xdr:row>12</xdr:row>
      <xdr:rowOff>138112</xdr:rowOff>
    </xdr:from>
    <xdr:to>
      <xdr:col>22</xdr:col>
      <xdr:colOff>600074</xdr:colOff>
      <xdr:row>28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9C2258-52BF-84B3-D236-7334E42EC8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18</xdr:row>
      <xdr:rowOff>152400</xdr:rowOff>
    </xdr:from>
    <xdr:to>
      <xdr:col>11</xdr:col>
      <xdr:colOff>209550</xdr:colOff>
      <xdr:row>35</xdr:row>
      <xdr:rowOff>11430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F48629-0FDE-4B87-A41F-835E2A69B9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285750</xdr:colOff>
      <xdr:row>1</xdr:row>
      <xdr:rowOff>171450</xdr:rowOff>
    </xdr:from>
    <xdr:to>
      <xdr:col>16</xdr:col>
      <xdr:colOff>485775</xdr:colOff>
      <xdr:row>5</xdr:row>
      <xdr:rowOff>105503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6A8248-2104-DBBC-1914-D5DBA73CD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361950"/>
          <a:ext cx="3095625" cy="1153253"/>
        </a:xfrm>
        <a:prstGeom prst="rect">
          <a:avLst/>
        </a:prstGeom>
      </xdr:spPr>
    </xdr:pic>
    <xdr:clientData/>
  </xdr:twoCellAnchor>
  <xdr:twoCellAnchor>
    <xdr:from>
      <xdr:col>6</xdr:col>
      <xdr:colOff>103532</xdr:colOff>
      <xdr:row>37</xdr:row>
      <xdr:rowOff>467346</xdr:rowOff>
    </xdr:from>
    <xdr:to>
      <xdr:col>17</xdr:col>
      <xdr:colOff>830745</xdr:colOff>
      <xdr:row>52</xdr:row>
      <xdr:rowOff>61706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8AFB8DE-273B-064A-C56C-06DEE6721A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38100</xdr:rowOff>
    </xdr:from>
    <xdr:to>
      <xdr:col>11</xdr:col>
      <xdr:colOff>66675</xdr:colOff>
      <xdr:row>22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8180F3-174A-407C-8EA9-F53DD1252F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390525</xdr:colOff>
      <xdr:row>8</xdr:row>
      <xdr:rowOff>38100</xdr:rowOff>
    </xdr:from>
    <xdr:to>
      <xdr:col>18</xdr:col>
      <xdr:colOff>104775</xdr:colOff>
      <xdr:row>15</xdr:row>
      <xdr:rowOff>5788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64E090-E297-7337-7D33-BC6DA6047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5725" y="1562100"/>
          <a:ext cx="3371850" cy="1301188"/>
        </a:xfrm>
        <a:prstGeom prst="rect">
          <a:avLst/>
        </a:prstGeom>
      </xdr:spPr>
    </xdr:pic>
    <xdr:clientData/>
  </xdr:twoCellAnchor>
  <xdr:twoCellAnchor>
    <xdr:from>
      <xdr:col>11</xdr:col>
      <xdr:colOff>323850</xdr:colOff>
      <xdr:row>13</xdr:row>
      <xdr:rowOff>90486</xdr:rowOff>
    </xdr:from>
    <xdr:to>
      <xdr:col>22</xdr:col>
      <xdr:colOff>133350</xdr:colOff>
      <xdr:row>27</xdr:row>
      <xdr:rowOff>133349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FABD61B-C6D1-BFBC-88A6-A6607B83CE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10</xdr:row>
      <xdr:rowOff>85725</xdr:rowOff>
    </xdr:from>
    <xdr:to>
      <xdr:col>11</xdr:col>
      <xdr:colOff>304800</xdr:colOff>
      <xdr:row>20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551315-5B08-4789-B78E-58D11D4A45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266700</xdr:colOff>
      <xdr:row>7</xdr:row>
      <xdr:rowOff>180974</xdr:rowOff>
    </xdr:from>
    <xdr:to>
      <xdr:col>23</xdr:col>
      <xdr:colOff>457200</xdr:colOff>
      <xdr:row>17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ED6C12-7C9C-8DEC-CBE3-7C1D768960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16</xdr:row>
      <xdr:rowOff>114300</xdr:rowOff>
    </xdr:from>
    <xdr:to>
      <xdr:col>8</xdr:col>
      <xdr:colOff>38100</xdr:colOff>
      <xdr:row>27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E8DE2F-C5F8-4E5D-8434-85B15A4968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9</xdr:row>
      <xdr:rowOff>100012</xdr:rowOff>
    </xdr:from>
    <xdr:to>
      <xdr:col>14</xdr:col>
      <xdr:colOff>457200</xdr:colOff>
      <xdr:row>17</xdr:row>
      <xdr:rowOff>1490662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4A9F9C7-C76F-2E85-73F5-AAF056B1E6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6</xdr:row>
      <xdr:rowOff>171450</xdr:rowOff>
    </xdr:from>
    <xdr:to>
      <xdr:col>26</xdr:col>
      <xdr:colOff>85725</xdr:colOff>
      <xdr:row>20</xdr:row>
      <xdr:rowOff>156210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BE6C68-2DDC-41D3-B530-7812EAD506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6</xdr:row>
      <xdr:rowOff>157162</xdr:rowOff>
    </xdr:from>
    <xdr:to>
      <xdr:col>12</xdr:col>
      <xdr:colOff>400050</xdr:colOff>
      <xdr:row>21</xdr:row>
      <xdr:rowOff>42862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3B2F2BB-6F5C-F2AC-C194-4FCF30836E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oGi\Statistik\EM-iin%20uzuulelt%20nom\EM-in%20uzuulelt%202023\Buleg%204.6-4.8%20ll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eer"/>
      <sheetName val="Table 4.1"/>
      <sheetName val="Or"/>
      <sheetName val="Urkh EMT"/>
      <sheetName val="SUM"/>
      <sheetName val="Аймаг"/>
      <sheetName val="BOET ajillagsad"/>
      <sheetName val="Sheet1"/>
      <sheetName val="Sheet2"/>
      <sheetName val="BOET"/>
      <sheetName val="Sheet3"/>
      <sheetName val="Sheet10"/>
      <sheetName val="Sheet4"/>
      <sheetName val="Sheet5"/>
      <sheetName val="Sheet6"/>
      <sheetName val="Tuv emneleg"/>
      <sheetName val="Sheet8"/>
      <sheetName val="Sheet7"/>
      <sheetName val="Tuv emnelgeer"/>
      <sheetName val="Huvi or uzuulelt"/>
      <sheetName val="Huviin shaltgaan"/>
      <sheetName val="Huviin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 xml:space="preserve">Нийт ажиллагчид
</v>
          </cell>
          <cell r="C4" t="str">
            <v>Их эмч</v>
          </cell>
          <cell r="D4" t="str">
            <v>Сувилагч</v>
          </cell>
        </row>
        <row r="10">
          <cell r="A10">
            <v>2014</v>
          </cell>
          <cell r="B10">
            <v>1680</v>
          </cell>
          <cell r="C10">
            <v>430</v>
          </cell>
          <cell r="D10">
            <v>690</v>
          </cell>
        </row>
        <row r="11">
          <cell r="A11">
            <v>2015</v>
          </cell>
          <cell r="B11">
            <v>1926</v>
          </cell>
          <cell r="C11">
            <v>449</v>
          </cell>
          <cell r="D11">
            <v>694</v>
          </cell>
        </row>
        <row r="12">
          <cell r="A12">
            <v>2016</v>
          </cell>
          <cell r="B12">
            <v>1945</v>
          </cell>
          <cell r="C12">
            <v>449</v>
          </cell>
          <cell r="D12">
            <v>706</v>
          </cell>
        </row>
        <row r="13">
          <cell r="A13">
            <v>2017</v>
          </cell>
          <cell r="B13">
            <v>1957</v>
          </cell>
          <cell r="C13">
            <v>457</v>
          </cell>
          <cell r="D13">
            <v>714</v>
          </cell>
        </row>
        <row r="14">
          <cell r="A14">
            <v>2018</v>
          </cell>
          <cell r="B14">
            <v>2050</v>
          </cell>
          <cell r="C14">
            <v>481</v>
          </cell>
          <cell r="D14">
            <v>730</v>
          </cell>
        </row>
        <row r="15">
          <cell r="A15">
            <v>2019</v>
          </cell>
          <cell r="B15">
            <v>2090</v>
          </cell>
          <cell r="C15">
            <v>522</v>
          </cell>
          <cell r="D15">
            <v>747</v>
          </cell>
        </row>
        <row r="16">
          <cell r="A16">
            <v>2020</v>
          </cell>
          <cell r="B16">
            <v>2112</v>
          </cell>
          <cell r="C16">
            <v>514</v>
          </cell>
          <cell r="D16">
            <v>766</v>
          </cell>
        </row>
        <row r="17">
          <cell r="A17">
            <v>2021</v>
          </cell>
          <cell r="B17">
            <v>2164</v>
          </cell>
          <cell r="C17">
            <v>511</v>
          </cell>
          <cell r="D17">
            <v>793</v>
          </cell>
        </row>
        <row r="18">
          <cell r="A18">
            <v>2022</v>
          </cell>
          <cell r="B18">
            <v>2184</v>
          </cell>
          <cell r="C18">
            <v>532</v>
          </cell>
          <cell r="D18">
            <v>792</v>
          </cell>
        </row>
        <row r="19">
          <cell r="A19">
            <v>2023</v>
          </cell>
          <cell r="B19">
            <v>2247</v>
          </cell>
          <cell r="C19">
            <v>557</v>
          </cell>
          <cell r="D19">
            <v>800</v>
          </cell>
        </row>
      </sheetData>
      <sheetData sheetId="7">
        <row r="10">
          <cell r="A10" t="str">
            <v>Зоонозын өвчний</v>
          </cell>
          <cell r="C10">
            <v>0.17953321364452424</v>
          </cell>
        </row>
        <row r="11">
          <cell r="A11" t="str">
            <v xml:space="preserve">Настны </v>
          </cell>
          <cell r="C11">
            <v>0.53859964093357271</v>
          </cell>
        </row>
        <row r="12">
          <cell r="A12" t="str">
            <v>Харшлын</v>
          </cell>
          <cell r="C12">
            <v>0.71813285457809695</v>
          </cell>
        </row>
        <row r="13">
          <cell r="A13" t="str">
            <v xml:space="preserve">Арьсны </v>
          </cell>
          <cell r="C13">
            <v>0.89766606822262118</v>
          </cell>
        </row>
        <row r="14">
          <cell r="A14" t="str">
            <v xml:space="preserve">Сэргээн засахаын </v>
          </cell>
          <cell r="C14">
            <v>1.0771992818671454</v>
          </cell>
        </row>
        <row r="15">
          <cell r="A15" t="str">
            <v xml:space="preserve">Хавдрын </v>
          </cell>
          <cell r="C15">
            <v>1.0771992818671454</v>
          </cell>
        </row>
        <row r="16">
          <cell r="A16" t="str">
            <v>Анатомын эмгэг судлал</v>
          </cell>
          <cell r="C16">
            <v>1.4362657091561939</v>
          </cell>
        </row>
        <row r="17">
          <cell r="A17" t="str">
            <v>Чих хамар хоолойн</v>
          </cell>
          <cell r="C17">
            <v>1.7953321364452424</v>
          </cell>
        </row>
        <row r="18">
          <cell r="A18" t="str">
            <v>Яаралтай тусламжийн</v>
          </cell>
          <cell r="C18">
            <v>1.9748653500897666</v>
          </cell>
        </row>
        <row r="19">
          <cell r="A19" t="str">
            <v>Нүдний</v>
          </cell>
          <cell r="C19">
            <v>2.1543985637342908</v>
          </cell>
        </row>
        <row r="20">
          <cell r="A20" t="str">
            <v xml:space="preserve">Сүрьеэгийн </v>
          </cell>
          <cell r="C20">
            <v>2.3339317773788153</v>
          </cell>
        </row>
        <row r="21">
          <cell r="A21" t="str">
            <v xml:space="preserve">Сэтгэцийн </v>
          </cell>
          <cell r="C21">
            <v>2.3339317773788153</v>
          </cell>
        </row>
        <row r="22">
          <cell r="A22" t="str">
            <v xml:space="preserve">Халдвартын </v>
          </cell>
          <cell r="C22">
            <v>2.8725314183123878</v>
          </cell>
        </row>
        <row r="23">
          <cell r="A23" t="str">
            <v xml:space="preserve">Уламжлалт анагаахын </v>
          </cell>
          <cell r="C23">
            <v>3.0520646319569122</v>
          </cell>
        </row>
        <row r="24">
          <cell r="A24" t="str">
            <v xml:space="preserve">Мэдрэлийн </v>
          </cell>
          <cell r="C24">
            <v>3.0520646319569122</v>
          </cell>
        </row>
        <row r="25">
          <cell r="A25" t="str">
            <v>Эрчимт эмчилгээний</v>
          </cell>
          <cell r="C25">
            <v>3.2315978456014363</v>
          </cell>
        </row>
        <row r="26">
          <cell r="A26" t="str">
            <v>Эмнэлзүйн эмгэг судлал</v>
          </cell>
          <cell r="C26">
            <v>3.5906642728904847</v>
          </cell>
        </row>
        <row r="27">
          <cell r="A27" t="str">
            <v xml:space="preserve">Гэмтлийн </v>
          </cell>
          <cell r="C27">
            <v>3.7701974865350092</v>
          </cell>
        </row>
        <row r="28">
          <cell r="A28" t="str">
            <v>Мэдээгүйжүүлэгийн</v>
          </cell>
          <cell r="C28">
            <v>4.1292639138240572</v>
          </cell>
        </row>
        <row r="29">
          <cell r="A29" t="str">
            <v>Дүрс оношлогооны</v>
          </cell>
          <cell r="C29">
            <v>5.7450628366247756</v>
          </cell>
        </row>
        <row r="30">
          <cell r="A30" t="str">
            <v>Хүүхдийн</v>
          </cell>
          <cell r="C30">
            <v>5.7450628366247756</v>
          </cell>
        </row>
        <row r="31">
          <cell r="A31" t="str">
            <v>Шүдний</v>
          </cell>
          <cell r="C31">
            <v>6.1041292639138245</v>
          </cell>
        </row>
        <row r="32">
          <cell r="A32" t="str">
            <v>Бусад</v>
          </cell>
          <cell r="C32">
            <v>6.642728904847397</v>
          </cell>
        </row>
        <row r="33">
          <cell r="A33" t="str">
            <v xml:space="preserve">Мэс заслын </v>
          </cell>
          <cell r="C33">
            <v>6.8222621184919214</v>
          </cell>
        </row>
        <row r="34">
          <cell r="A34" t="str">
            <v>Ерөнхий мэргэжлийн</v>
          </cell>
          <cell r="C34">
            <v>8.4380610412926398</v>
          </cell>
        </row>
        <row r="35">
          <cell r="A35" t="str">
            <v>Эх барих эмэгтэйчүүдийн</v>
          </cell>
          <cell r="C35">
            <v>8.4380610412926398</v>
          </cell>
        </row>
        <row r="36">
          <cell r="A36" t="str">
            <v>Дотрын</v>
          </cell>
          <cell r="C36">
            <v>11.8491921005386</v>
          </cell>
        </row>
      </sheetData>
      <sheetData sheetId="8">
        <row r="8">
          <cell r="A8" t="str">
            <v>Арьсны</v>
          </cell>
          <cell r="C8">
            <v>0.875</v>
          </cell>
        </row>
        <row r="9">
          <cell r="A9" t="str">
            <v>Нүдний</v>
          </cell>
          <cell r="C9">
            <v>1.125</v>
          </cell>
        </row>
        <row r="10">
          <cell r="A10" t="str">
            <v xml:space="preserve">Цус, хавдрын </v>
          </cell>
          <cell r="C10">
            <v>1.125</v>
          </cell>
        </row>
        <row r="11">
          <cell r="A11" t="str">
            <v xml:space="preserve">Мэдрэлийн </v>
          </cell>
          <cell r="C11">
            <v>1.25</v>
          </cell>
        </row>
        <row r="12">
          <cell r="A12" t="str">
            <v>Чих, хамар, хоолойн</v>
          </cell>
          <cell r="C12">
            <v>1.25</v>
          </cell>
        </row>
        <row r="13">
          <cell r="A13" t="str">
            <v xml:space="preserve">Нүүр амны </v>
          </cell>
          <cell r="C13">
            <v>1.875</v>
          </cell>
        </row>
        <row r="14">
          <cell r="A14" t="str">
            <v>Дархлаажуулалтын</v>
          </cell>
          <cell r="C14">
            <v>1.875</v>
          </cell>
        </row>
        <row r="15">
          <cell r="A15" t="str">
            <v>Гэмтэл, согогийн</v>
          </cell>
          <cell r="C15">
            <v>2.5</v>
          </cell>
        </row>
        <row r="16">
          <cell r="A16" t="str">
            <v xml:space="preserve">Сэтгэцийн </v>
          </cell>
          <cell r="C16">
            <v>2.625</v>
          </cell>
        </row>
        <row r="17">
          <cell r="A17" t="str">
            <v>Уламжлалт анагаахын</v>
          </cell>
          <cell r="C17">
            <v>2.75</v>
          </cell>
        </row>
        <row r="18">
          <cell r="A18" t="str">
            <v xml:space="preserve">Халдвартын </v>
          </cell>
          <cell r="C18">
            <v>2.75</v>
          </cell>
        </row>
        <row r="19">
          <cell r="A19" t="str">
            <v>Хөнгөвчлөх эмчилгээний</v>
          </cell>
          <cell r="C19">
            <v>3.125</v>
          </cell>
        </row>
        <row r="20">
          <cell r="A20" t="str">
            <v xml:space="preserve">Сэргээн засахын </v>
          </cell>
          <cell r="C20">
            <v>3.25</v>
          </cell>
        </row>
        <row r="21">
          <cell r="A21" t="str">
            <v xml:space="preserve">Яаралтай тусламжийн </v>
          </cell>
          <cell r="C21">
            <v>3.625</v>
          </cell>
        </row>
        <row r="22">
          <cell r="A22" t="str">
            <v>Эрчимт эмчилгээний</v>
          </cell>
          <cell r="C22">
            <v>4.375</v>
          </cell>
        </row>
        <row r="23">
          <cell r="A23" t="str">
            <v xml:space="preserve">Нярайн </v>
          </cell>
          <cell r="C23">
            <v>5</v>
          </cell>
        </row>
        <row r="24">
          <cell r="A24" t="str">
            <v>Мэдээгүйжүүлэг</v>
          </cell>
          <cell r="C24">
            <v>6.125</v>
          </cell>
        </row>
        <row r="25">
          <cell r="A25" t="str">
            <v xml:space="preserve">Хүүхдийн </v>
          </cell>
          <cell r="C25">
            <v>6.5</v>
          </cell>
        </row>
        <row r="26">
          <cell r="A26" t="str">
            <v>Мэс заслын</v>
          </cell>
          <cell r="C26">
            <v>10</v>
          </cell>
        </row>
        <row r="27">
          <cell r="A27" t="str">
            <v>Бусад</v>
          </cell>
          <cell r="C27">
            <v>13.375</v>
          </cell>
        </row>
        <row r="28">
          <cell r="A28" t="str">
            <v xml:space="preserve">Ерөнхий мэргэжлийн </v>
          </cell>
          <cell r="C28">
            <v>24.625</v>
          </cell>
        </row>
      </sheetData>
      <sheetData sheetId="9">
        <row r="20">
          <cell r="B20">
            <v>2010</v>
          </cell>
          <cell r="C20">
            <v>2011</v>
          </cell>
          <cell r="D20">
            <v>2012</v>
          </cell>
          <cell r="E20">
            <v>2013</v>
          </cell>
          <cell r="F20">
            <v>2014</v>
          </cell>
          <cell r="G20">
            <v>2015</v>
          </cell>
          <cell r="H20">
            <v>2016</v>
          </cell>
          <cell r="I20">
            <v>2017</v>
          </cell>
          <cell r="J20">
            <v>2018</v>
          </cell>
          <cell r="K20">
            <v>2019</v>
          </cell>
          <cell r="L20">
            <v>2020</v>
          </cell>
          <cell r="M20">
            <v>2021</v>
          </cell>
          <cell r="N20">
            <v>2022</v>
          </cell>
          <cell r="O20">
            <v>2023</v>
          </cell>
          <cell r="P20" t="str">
            <v>10 жил дундаж</v>
          </cell>
        </row>
        <row r="21">
          <cell r="A21" t="str">
            <v>Эмнэлгийн орны тоо</v>
          </cell>
          <cell r="F21">
            <v>1470</v>
          </cell>
          <cell r="G21">
            <v>1484</v>
          </cell>
          <cell r="H21">
            <v>1539</v>
          </cell>
          <cell r="I21">
            <v>1681</v>
          </cell>
          <cell r="J21">
            <v>1682</v>
          </cell>
          <cell r="K21">
            <v>1692</v>
          </cell>
          <cell r="L21">
            <v>1870</v>
          </cell>
          <cell r="M21">
            <v>2246</v>
          </cell>
          <cell r="N21">
            <v>1914</v>
          </cell>
          <cell r="O21">
            <v>1859</v>
          </cell>
          <cell r="P21">
            <v>1686.3</v>
          </cell>
        </row>
        <row r="22">
          <cell r="A22" t="str">
            <v>Хэвтэн эмчлүүлэгчийн тоо /мянга/</v>
          </cell>
          <cell r="F22">
            <v>54.8</v>
          </cell>
          <cell r="G22">
            <v>55.8</v>
          </cell>
          <cell r="H22">
            <v>57.1</v>
          </cell>
          <cell r="I22">
            <v>54.8</v>
          </cell>
          <cell r="J22">
            <v>56.3</v>
          </cell>
          <cell r="K22">
            <v>59</v>
          </cell>
          <cell r="L22">
            <v>54.1</v>
          </cell>
          <cell r="M22">
            <v>65.2</v>
          </cell>
          <cell r="N22">
            <v>65</v>
          </cell>
          <cell r="O22">
            <v>64.2</v>
          </cell>
          <cell r="P22">
            <v>58.63000000000001</v>
          </cell>
        </row>
        <row r="33">
          <cell r="F33">
            <v>2014</v>
          </cell>
          <cell r="G33">
            <v>2015</v>
          </cell>
          <cell r="H33">
            <v>2016</v>
          </cell>
          <cell r="I33">
            <v>2017</v>
          </cell>
          <cell r="J33">
            <v>2018</v>
          </cell>
          <cell r="K33">
            <v>2019</v>
          </cell>
          <cell r="L33">
            <v>2020</v>
          </cell>
          <cell r="M33">
            <v>2021</v>
          </cell>
          <cell r="N33">
            <v>2022</v>
          </cell>
          <cell r="O33">
            <v>2023</v>
          </cell>
          <cell r="P33" t="str">
            <v>10 жил дундаж</v>
          </cell>
        </row>
        <row r="34">
          <cell r="A34" t="str">
            <v>Амбулаториор үйлчлүүлэгчдийн тоо /мянга/</v>
          </cell>
          <cell r="F34">
            <v>575.20000000000005</v>
          </cell>
          <cell r="G34">
            <v>556</v>
          </cell>
          <cell r="H34">
            <v>544.29999999999995</v>
          </cell>
          <cell r="I34">
            <v>611.4</v>
          </cell>
          <cell r="J34">
            <v>644.9</v>
          </cell>
          <cell r="K34">
            <v>678.5</v>
          </cell>
          <cell r="L34">
            <v>671.3</v>
          </cell>
          <cell r="M34">
            <v>572.20000000000005</v>
          </cell>
          <cell r="N34">
            <v>896.3</v>
          </cell>
          <cell r="O34">
            <v>1060.7</v>
          </cell>
          <cell r="P34">
            <v>681.08</v>
          </cell>
        </row>
        <row r="61">
          <cell r="F61">
            <v>2014</v>
          </cell>
          <cell r="G61">
            <v>2015</v>
          </cell>
          <cell r="H61">
            <v>2016</v>
          </cell>
          <cell r="I61">
            <v>2017</v>
          </cell>
          <cell r="J61">
            <v>2018</v>
          </cell>
          <cell r="K61">
            <v>2019</v>
          </cell>
          <cell r="L61">
            <v>2020</v>
          </cell>
          <cell r="M61">
            <v>2021</v>
          </cell>
          <cell r="N61">
            <v>2022</v>
          </cell>
          <cell r="O61">
            <v>2023</v>
          </cell>
          <cell r="P61" t="str">
            <v>10 жил дундаж</v>
          </cell>
        </row>
        <row r="62">
          <cell r="A62" t="str">
            <v xml:space="preserve">Эхийн эндэгдэл (100 000 амьд төрөлтөд) </v>
          </cell>
          <cell r="F62">
            <v>31</v>
          </cell>
          <cell r="G62">
            <v>20.7</v>
          </cell>
          <cell r="H62">
            <v>62.7</v>
          </cell>
          <cell r="I62">
            <v>21.9</v>
          </cell>
          <cell r="J62">
            <v>10.4</v>
          </cell>
          <cell r="K62">
            <v>20.2</v>
          </cell>
          <cell r="L62">
            <v>10.3</v>
          </cell>
          <cell r="M62">
            <v>66.115702479338836</v>
          </cell>
          <cell r="N62">
            <v>12.262415695892091</v>
          </cell>
          <cell r="O62">
            <v>0</v>
          </cell>
          <cell r="P62">
            <v>25.557811817523095</v>
          </cell>
        </row>
        <row r="63">
          <cell r="A63" t="str">
            <v>Нялхсын эндэгдэл (1000 амьд төрөлтөд)</v>
          </cell>
          <cell r="F63">
            <v>11.7</v>
          </cell>
          <cell r="G63">
            <v>8.8000000000000007</v>
          </cell>
          <cell r="H63">
            <v>11.3</v>
          </cell>
          <cell r="I63">
            <v>8.4</v>
          </cell>
          <cell r="J63">
            <v>7.4</v>
          </cell>
          <cell r="K63">
            <v>8.4</v>
          </cell>
          <cell r="L63">
            <v>8.1</v>
          </cell>
          <cell r="M63">
            <v>11.460055096418733</v>
          </cell>
          <cell r="N63">
            <v>8.3384426732066217</v>
          </cell>
          <cell r="O63">
            <v>6.9</v>
          </cell>
          <cell r="P63">
            <v>9.0798497769625364</v>
          </cell>
        </row>
        <row r="77">
          <cell r="F77">
            <v>2014</v>
          </cell>
          <cell r="G77">
            <v>2015</v>
          </cell>
          <cell r="H77">
            <v>2016</v>
          </cell>
          <cell r="I77">
            <v>2017</v>
          </cell>
          <cell r="J77">
            <v>2018</v>
          </cell>
          <cell r="K77">
            <v>2019</v>
          </cell>
          <cell r="L77">
            <v>2020</v>
          </cell>
          <cell r="M77">
            <v>2021</v>
          </cell>
          <cell r="N77">
            <v>2022</v>
          </cell>
          <cell r="O77">
            <v>2023</v>
          </cell>
          <cell r="P77" t="str">
            <v>10 жил дундаж</v>
          </cell>
        </row>
        <row r="78">
          <cell r="A78" t="str">
            <v>Дундаж ор хоног</v>
          </cell>
          <cell r="F78">
            <v>7.6</v>
          </cell>
          <cell r="G78">
            <v>7.6</v>
          </cell>
          <cell r="H78">
            <v>7.5</v>
          </cell>
          <cell r="I78">
            <v>7.2</v>
          </cell>
          <cell r="J78">
            <v>7.2</v>
          </cell>
          <cell r="K78">
            <v>7.1</v>
          </cell>
          <cell r="L78">
            <v>6.9</v>
          </cell>
          <cell r="M78">
            <v>7.5</v>
          </cell>
          <cell r="N78">
            <v>6.9</v>
          </cell>
          <cell r="O78">
            <v>6.9</v>
          </cell>
          <cell r="P78">
            <v>7.24</v>
          </cell>
        </row>
        <row r="79">
          <cell r="A79" t="str">
            <v>Хоног болоогүй нас баралтын хувь</v>
          </cell>
          <cell r="F79">
            <v>30.1</v>
          </cell>
          <cell r="G79">
            <v>29</v>
          </cell>
          <cell r="H79">
            <v>30</v>
          </cell>
          <cell r="I79">
            <v>30.3</v>
          </cell>
          <cell r="J79">
            <v>30.9</v>
          </cell>
          <cell r="K79">
            <v>27.7</v>
          </cell>
          <cell r="L79">
            <v>35.700000000000003</v>
          </cell>
          <cell r="M79">
            <v>22.580645161290324</v>
          </cell>
          <cell r="N79">
            <v>29.863013698630137</v>
          </cell>
          <cell r="O79">
            <v>27.8</v>
          </cell>
          <cell r="P79">
            <v>29.394365885992045</v>
          </cell>
        </row>
      </sheetData>
      <sheetData sheetId="10">
        <row r="54">
          <cell r="B54" t="str">
            <v>Хэвтэн эмчлүүлэгчдийн хувь</v>
          </cell>
          <cell r="C54" t="str">
            <v xml:space="preserve">Дундаж ор хоног </v>
          </cell>
          <cell r="D54" t="str">
            <v>БОЭТ дундаж ор хоног</v>
          </cell>
        </row>
        <row r="55">
          <cell r="A55" t="str">
            <v>Эрүү нүүр</v>
          </cell>
          <cell r="B55">
            <v>0.55401014516468361</v>
          </cell>
          <cell r="C55">
            <v>6.756680731364276</v>
          </cell>
          <cell r="D55">
            <v>6.9</v>
          </cell>
        </row>
        <row r="56">
          <cell r="A56" t="str">
            <v>Сүрьеэ</v>
          </cell>
          <cell r="B56">
            <v>0.67088992262558733</v>
          </cell>
          <cell r="C56">
            <v>24.518002322880371</v>
          </cell>
          <cell r="D56">
            <v>6.9</v>
          </cell>
        </row>
        <row r="57">
          <cell r="A57" t="str">
            <v>Эрчимт эмчилгээ, сэхээн амьдруулах</v>
          </cell>
          <cell r="B57">
            <v>0.77686092085680669</v>
          </cell>
          <cell r="C57">
            <v>10.355065195586761</v>
          </cell>
          <cell r="D57">
            <v>6.9</v>
          </cell>
        </row>
        <row r="58">
          <cell r="A58" t="str">
            <v>Нүд</v>
          </cell>
          <cell r="B58">
            <v>0.99971169654892977</v>
          </cell>
          <cell r="C58">
            <v>6.1247077162899455</v>
          </cell>
          <cell r="D58">
            <v>6.9</v>
          </cell>
        </row>
        <row r="59">
          <cell r="A59" t="str">
            <v>Хавдар</v>
          </cell>
          <cell r="B59">
            <v>1.0511387986317273</v>
          </cell>
          <cell r="C59">
            <v>5.9733135656041512</v>
          </cell>
          <cell r="D59">
            <v>6.9</v>
          </cell>
        </row>
        <row r="60">
          <cell r="A60" t="str">
            <v>Чих, хамар хоолой</v>
          </cell>
          <cell r="B60">
            <v>1.9347499162361594</v>
          </cell>
          <cell r="C60">
            <v>6.401933145388643</v>
          </cell>
          <cell r="D60">
            <v>6.9</v>
          </cell>
        </row>
        <row r="61">
          <cell r="A61" t="str">
            <v>Арьс харшил</v>
          </cell>
          <cell r="B61">
            <v>2.2394165361509151</v>
          </cell>
          <cell r="C61">
            <v>7.5831593597773139</v>
          </cell>
          <cell r="D61">
            <v>6.9</v>
          </cell>
        </row>
        <row r="62">
          <cell r="A62" t="str">
            <v>Хөнгөвчлөх эмчилгээ</v>
          </cell>
          <cell r="B62">
            <v>2.3259075714719839</v>
          </cell>
          <cell r="C62">
            <v>6.4978224455611393</v>
          </cell>
          <cell r="D62">
            <v>6.9</v>
          </cell>
        </row>
        <row r="63">
          <cell r="A63" t="str">
            <v>Уламжлалт эмчилгээ</v>
          </cell>
          <cell r="B63">
            <v>3.6100267265091128</v>
          </cell>
          <cell r="C63">
            <v>7.9788473990934596</v>
          </cell>
          <cell r="D63">
            <v>6.9</v>
          </cell>
        </row>
        <row r="64">
          <cell r="A64" t="str">
            <v>Халдварт</v>
          </cell>
          <cell r="B64">
            <v>3.6466490567801957</v>
          </cell>
          <cell r="C64">
            <v>7.6170940170940167</v>
          </cell>
          <cell r="D64">
            <v>6.9</v>
          </cell>
        </row>
        <row r="65">
          <cell r="A65" t="str">
            <v>Сэтгэц</v>
          </cell>
          <cell r="B65">
            <v>4.2435151203472108</v>
          </cell>
          <cell r="C65">
            <v>9.8464928387807564</v>
          </cell>
          <cell r="D65">
            <v>6.9</v>
          </cell>
        </row>
        <row r="66">
          <cell r="A66" t="str">
            <v>Бусад</v>
          </cell>
          <cell r="B66">
            <v>4.6892166717314572</v>
          </cell>
          <cell r="C66">
            <v>6.6480558325024921</v>
          </cell>
          <cell r="D66">
            <v>6.9</v>
          </cell>
        </row>
        <row r="67">
          <cell r="A67" t="str">
            <v>Эмэгтэйчүүд</v>
          </cell>
          <cell r="B67">
            <v>4.7040214435431711</v>
          </cell>
          <cell r="C67">
            <v>7.3576279609077355</v>
          </cell>
          <cell r="D67">
            <v>6.9</v>
          </cell>
        </row>
        <row r="68">
          <cell r="A68" t="str">
            <v>Гэмтэл</v>
          </cell>
          <cell r="B68">
            <v>5.9577518564404652</v>
          </cell>
          <cell r="C68">
            <v>7.552968872613131</v>
          </cell>
          <cell r="D68">
            <v>6.9</v>
          </cell>
        </row>
        <row r="69">
          <cell r="A69" t="str">
            <v>Мэдрэл</v>
          </cell>
          <cell r="B69">
            <v>6.1455386988943177</v>
          </cell>
          <cell r="C69">
            <v>7.6505642196018764</v>
          </cell>
          <cell r="D69">
            <v>6.9</v>
          </cell>
        </row>
        <row r="70">
          <cell r="A70" t="str">
            <v>Мэс засал</v>
          </cell>
          <cell r="B70">
            <v>10.015817729883043</v>
          </cell>
          <cell r="C70">
            <v>5.3220787303563091</v>
          </cell>
          <cell r="D70">
            <v>6.9</v>
          </cell>
        </row>
        <row r="71">
          <cell r="A71" t="str">
            <v>Дотор</v>
          </cell>
          <cell r="B71">
            <v>13.676492359958546</v>
          </cell>
          <cell r="C71">
            <v>7.5654056517775752</v>
          </cell>
          <cell r="D71">
            <v>6.9</v>
          </cell>
        </row>
        <row r="72">
          <cell r="A72" t="str">
            <v>Төрөх</v>
          </cell>
          <cell r="B72">
            <v>14.225048115508388</v>
          </cell>
          <cell r="C72">
            <v>3.8938431200701138</v>
          </cell>
          <cell r="D72">
            <v>6.9</v>
          </cell>
        </row>
        <row r="73">
          <cell r="A73" t="str">
            <v>Хүүхэд</v>
          </cell>
          <cell r="B73">
            <v>18.533236712717297</v>
          </cell>
          <cell r="C73">
            <v>7.3350430943872187</v>
          </cell>
          <cell r="D73">
            <v>6.9</v>
          </cell>
        </row>
      </sheetData>
      <sheetData sheetId="11"/>
      <sheetData sheetId="12"/>
      <sheetData sheetId="13"/>
      <sheetData sheetId="14"/>
      <sheetData sheetId="15">
        <row r="16">
          <cell r="F16">
            <v>2014</v>
          </cell>
          <cell r="G16">
            <v>2015</v>
          </cell>
          <cell r="H16">
            <v>2016</v>
          </cell>
          <cell r="I16">
            <v>2017</v>
          </cell>
          <cell r="J16">
            <v>2018</v>
          </cell>
          <cell r="K16">
            <v>2019</v>
          </cell>
          <cell r="L16">
            <v>2020</v>
          </cell>
          <cell r="M16">
            <v>2021</v>
          </cell>
          <cell r="N16">
            <v>2022</v>
          </cell>
          <cell r="O16">
            <v>2023</v>
          </cell>
          <cell r="P16" t="str">
            <v>10 жил дундаж</v>
          </cell>
        </row>
        <row r="17">
          <cell r="A17" t="str">
            <v>Хэвтэн эмчлүүлэгчийн тоо</v>
          </cell>
          <cell r="F17">
            <v>134.1</v>
          </cell>
          <cell r="G17">
            <v>141.9</v>
          </cell>
          <cell r="H17">
            <v>146</v>
          </cell>
          <cell r="I17">
            <v>149.6</v>
          </cell>
          <cell r="J17">
            <v>159.5</v>
          </cell>
          <cell r="K17">
            <v>157.9</v>
          </cell>
          <cell r="L17">
            <v>163.6</v>
          </cell>
          <cell r="M17">
            <v>192.8</v>
          </cell>
          <cell r="N17">
            <v>192.1</v>
          </cell>
          <cell r="O17">
            <v>196.7</v>
          </cell>
          <cell r="P17">
            <v>163.41999999999999</v>
          </cell>
        </row>
        <row r="18">
          <cell r="A18" t="str">
            <v xml:space="preserve">Доод шатлалаас ирж хэвтэн эмчлүүлэгчдийн хувь
</v>
          </cell>
          <cell r="F18">
            <v>22.638118250701034</v>
          </cell>
          <cell r="G18">
            <v>21.496439564154759</v>
          </cell>
          <cell r="H18">
            <v>30.157567125238817</v>
          </cell>
          <cell r="I18">
            <v>20.236221787868157</v>
          </cell>
          <cell r="J18">
            <v>22.843922227586511</v>
          </cell>
          <cell r="K18">
            <v>23.033227577559511</v>
          </cell>
          <cell r="L18">
            <v>18.3</v>
          </cell>
          <cell r="M18">
            <v>10.199999999999999</v>
          </cell>
          <cell r="N18">
            <v>16.568081213941277</v>
          </cell>
          <cell r="O18">
            <v>15.22187232333707</v>
          </cell>
          <cell r="P18">
            <v>20.069545007038712</v>
          </cell>
        </row>
        <row r="26">
          <cell r="F26">
            <v>2014</v>
          </cell>
          <cell r="G26">
            <v>2015</v>
          </cell>
          <cell r="H26">
            <v>2016</v>
          </cell>
          <cell r="I26">
            <v>2017</v>
          </cell>
          <cell r="J26">
            <v>2018</v>
          </cell>
          <cell r="K26">
            <v>2019</v>
          </cell>
          <cell r="L26">
            <v>2020</v>
          </cell>
          <cell r="M26">
            <v>2021</v>
          </cell>
          <cell r="N26">
            <v>2022</v>
          </cell>
          <cell r="O26">
            <v>2023</v>
          </cell>
          <cell r="P26" t="str">
            <v>10 жил дундаж</v>
          </cell>
        </row>
        <row r="27">
          <cell r="A27" t="str">
            <v>Их эмчийн тоо</v>
          </cell>
          <cell r="F27">
            <v>1229</v>
          </cell>
          <cell r="G27">
            <v>1221</v>
          </cell>
          <cell r="H27">
            <v>1217</v>
          </cell>
          <cell r="I27">
            <v>1225</v>
          </cell>
          <cell r="J27">
            <v>1258</v>
          </cell>
          <cell r="K27">
            <v>1380</v>
          </cell>
          <cell r="L27">
            <v>1437</v>
          </cell>
          <cell r="M27">
            <v>1533</v>
          </cell>
          <cell r="N27">
            <v>1561</v>
          </cell>
          <cell r="O27">
            <v>1646</v>
          </cell>
          <cell r="P27">
            <v>1370.7</v>
          </cell>
        </row>
        <row r="28">
          <cell r="A28" t="str">
            <v>Сувилагчийн тоо</v>
          </cell>
          <cell r="F28">
            <v>1879</v>
          </cell>
          <cell r="G28">
            <v>1912</v>
          </cell>
          <cell r="H28">
            <v>1917</v>
          </cell>
          <cell r="I28">
            <v>1943</v>
          </cell>
          <cell r="J28">
            <v>2035</v>
          </cell>
          <cell r="K28">
            <v>2158</v>
          </cell>
          <cell r="L28">
            <v>2210</v>
          </cell>
          <cell r="M28">
            <v>2256</v>
          </cell>
          <cell r="N28">
            <v>2135</v>
          </cell>
          <cell r="O28">
            <v>2228</v>
          </cell>
          <cell r="P28">
            <v>2067.3000000000002</v>
          </cell>
        </row>
        <row r="41">
          <cell r="F41">
            <v>2014</v>
          </cell>
          <cell r="G41">
            <v>2015</v>
          </cell>
          <cell r="H41">
            <v>2016</v>
          </cell>
          <cell r="I41">
            <v>2017</v>
          </cell>
          <cell r="J41">
            <v>2018</v>
          </cell>
          <cell r="K41">
            <v>2019</v>
          </cell>
          <cell r="L41">
            <v>2020</v>
          </cell>
          <cell r="M41">
            <v>2021</v>
          </cell>
          <cell r="N41">
            <v>2022</v>
          </cell>
          <cell r="O41">
            <v>2023</v>
          </cell>
          <cell r="P41" t="str">
            <v>10 жил дундаж</v>
          </cell>
        </row>
        <row r="42">
          <cell r="A42" t="str">
            <v>Дундаж ор хоног</v>
          </cell>
          <cell r="F42">
            <v>9.4</v>
          </cell>
          <cell r="G42">
            <v>8.9</v>
          </cell>
          <cell r="H42">
            <v>8.6999999999999993</v>
          </cell>
          <cell r="I42">
            <v>8.6</v>
          </cell>
          <cell r="J42">
            <v>8.3452734010069527</v>
          </cell>
          <cell r="K42">
            <v>8.1999999999999993</v>
          </cell>
          <cell r="L42">
            <v>7.4</v>
          </cell>
          <cell r="M42">
            <v>7.6</v>
          </cell>
          <cell r="N42">
            <v>7.4</v>
          </cell>
          <cell r="O42">
            <v>7.4</v>
          </cell>
          <cell r="P42">
            <v>8.1945273401006968</v>
          </cell>
        </row>
        <row r="43">
          <cell r="A43" t="str">
            <v>Хоног болоогүй нас баралтын хувь</v>
          </cell>
          <cell r="F43">
            <v>27.9</v>
          </cell>
          <cell r="G43">
            <v>20.5</v>
          </cell>
          <cell r="H43">
            <v>20.3</v>
          </cell>
          <cell r="I43">
            <v>18.139293139293141</v>
          </cell>
          <cell r="J43">
            <v>20.212765957446809</v>
          </cell>
          <cell r="K43">
            <v>19.399999999999999</v>
          </cell>
          <cell r="L43">
            <v>19.899999999999999</v>
          </cell>
          <cell r="M43">
            <v>17.512592018597442</v>
          </cell>
          <cell r="N43">
            <v>20.100000000000001</v>
          </cell>
          <cell r="O43">
            <v>18.100000000000001</v>
          </cell>
          <cell r="P43">
            <v>20.206465111533738</v>
          </cell>
        </row>
        <row r="90">
          <cell r="F90">
            <v>2014</v>
          </cell>
          <cell r="G90">
            <v>2015</v>
          </cell>
          <cell r="H90">
            <v>2016</v>
          </cell>
          <cell r="I90">
            <v>2017</v>
          </cell>
          <cell r="J90">
            <v>2018</v>
          </cell>
          <cell r="K90">
            <v>2019</v>
          </cell>
          <cell r="L90">
            <v>2020</v>
          </cell>
          <cell r="M90">
            <v>2021</v>
          </cell>
          <cell r="N90">
            <v>2022</v>
          </cell>
          <cell r="O90">
            <v>2023</v>
          </cell>
          <cell r="P90" t="str">
            <v>10 жил дундаж</v>
          </cell>
        </row>
        <row r="91">
          <cell r="A91" t="str">
            <v>Амбулаториор үйлчлүүлэгчдийн тоо/ мянга/</v>
          </cell>
          <cell r="F91">
            <v>1233.5</v>
          </cell>
          <cell r="G91">
            <v>1279.4000000000001</v>
          </cell>
          <cell r="H91">
            <v>1285.3</v>
          </cell>
          <cell r="I91">
            <v>1398.7</v>
          </cell>
          <cell r="J91">
            <v>1395.5</v>
          </cell>
          <cell r="K91">
            <v>1467.3</v>
          </cell>
          <cell r="L91">
            <v>1411.6</v>
          </cell>
          <cell r="M91">
            <v>1349.5</v>
          </cell>
          <cell r="N91">
            <v>1929.2</v>
          </cell>
          <cell r="O91">
            <v>2259.1999999999998</v>
          </cell>
          <cell r="P91">
            <v>1500.92</v>
          </cell>
        </row>
      </sheetData>
      <sheetData sheetId="16"/>
      <sheetData sheetId="17"/>
      <sheetData sheetId="18"/>
      <sheetData sheetId="19"/>
      <sheetData sheetId="20"/>
      <sheetData sheetId="21">
        <row r="22">
          <cell r="G22">
            <v>2014</v>
          </cell>
          <cell r="H22">
            <v>2015</v>
          </cell>
          <cell r="I22">
            <v>2016</v>
          </cell>
          <cell r="J22">
            <v>2017</v>
          </cell>
          <cell r="K22">
            <v>2018</v>
          </cell>
          <cell r="L22">
            <v>2019</v>
          </cell>
          <cell r="M22">
            <v>2020</v>
          </cell>
          <cell r="N22">
            <v>2021</v>
          </cell>
          <cell r="O22">
            <v>2022</v>
          </cell>
          <cell r="P22">
            <v>2023</v>
          </cell>
          <cell r="Q22" t="str">
            <v>10 жил дундаж</v>
          </cell>
        </row>
        <row r="23">
          <cell r="B23" t="str">
            <v>Ортой эмнэлгийн тоо</v>
          </cell>
          <cell r="G23">
            <v>202</v>
          </cell>
          <cell r="H23">
            <v>224</v>
          </cell>
          <cell r="I23">
            <v>234</v>
          </cell>
          <cell r="J23">
            <v>240</v>
          </cell>
          <cell r="K23">
            <v>243</v>
          </cell>
          <cell r="L23">
            <v>237</v>
          </cell>
          <cell r="M23">
            <v>241</v>
          </cell>
          <cell r="N23">
            <v>239</v>
          </cell>
          <cell r="O23">
            <v>215</v>
          </cell>
          <cell r="P23">
            <v>216</v>
          </cell>
          <cell r="Q23">
            <v>229.1</v>
          </cell>
        </row>
        <row r="24">
          <cell r="B24" t="str">
            <v>Хувийн клиник</v>
          </cell>
          <cell r="G24">
            <v>969</v>
          </cell>
          <cell r="H24">
            <v>1006</v>
          </cell>
          <cell r="I24">
            <v>1076</v>
          </cell>
          <cell r="J24">
            <v>1226</v>
          </cell>
          <cell r="K24">
            <v>1340</v>
          </cell>
          <cell r="L24">
            <v>1444</v>
          </cell>
          <cell r="M24">
            <v>1491</v>
          </cell>
          <cell r="N24">
            <v>1548</v>
          </cell>
          <cell r="O24">
            <v>1458</v>
          </cell>
          <cell r="P24">
            <v>1466</v>
          </cell>
          <cell r="Q24">
            <v>1302.4000000000001</v>
          </cell>
        </row>
        <row r="30">
          <cell r="G30">
            <v>2014</v>
          </cell>
          <cell r="H30">
            <v>2015</v>
          </cell>
          <cell r="I30">
            <v>2016</v>
          </cell>
          <cell r="J30">
            <v>2017</v>
          </cell>
          <cell r="K30">
            <v>2018</v>
          </cell>
          <cell r="L30">
            <v>2019</v>
          </cell>
          <cell r="M30">
            <v>2020</v>
          </cell>
          <cell r="N30">
            <v>2021</v>
          </cell>
          <cell r="O30">
            <v>2022</v>
          </cell>
          <cell r="P30">
            <v>2023</v>
          </cell>
          <cell r="Q30" t="str">
            <v>10 жил дундаж</v>
          </cell>
        </row>
        <row r="31">
          <cell r="B31" t="str">
            <v>Эмнэлгийн орны тоо</v>
          </cell>
          <cell r="G31">
            <v>4542</v>
          </cell>
          <cell r="H31">
            <v>5262</v>
          </cell>
          <cell r="I31">
            <v>5611</v>
          </cell>
          <cell r="J31">
            <v>5756</v>
          </cell>
          <cell r="K31">
            <v>5985</v>
          </cell>
          <cell r="L31">
            <v>6205</v>
          </cell>
          <cell r="M31">
            <v>7291</v>
          </cell>
          <cell r="N31">
            <v>6709</v>
          </cell>
          <cell r="O31">
            <v>7352</v>
          </cell>
          <cell r="P31">
            <v>7508</v>
          </cell>
          <cell r="Q31">
            <v>6222.1</v>
          </cell>
        </row>
        <row r="32">
          <cell r="B32" t="str">
            <v>Нийт оронд эзлэх хувь</v>
          </cell>
          <cell r="G32">
            <v>22.1</v>
          </cell>
          <cell r="H32">
            <v>24.2</v>
          </cell>
          <cell r="I32">
            <v>24.4</v>
          </cell>
          <cell r="J32">
            <v>24.086705444198017</v>
          </cell>
          <cell r="K32">
            <v>24.051599421314901</v>
          </cell>
          <cell r="L32">
            <v>24.2</v>
          </cell>
          <cell r="M32">
            <v>26.9</v>
          </cell>
          <cell r="N32">
            <v>19.000283205890682</v>
          </cell>
          <cell r="O32">
            <v>24.813527287454857</v>
          </cell>
          <cell r="P32">
            <v>25.500118873756072</v>
          </cell>
          <cell r="Q32">
            <v>23.925223423261453</v>
          </cell>
        </row>
        <row r="49">
          <cell r="G49">
            <v>2014</v>
          </cell>
          <cell r="H49">
            <v>2015</v>
          </cell>
          <cell r="I49">
            <v>2016</v>
          </cell>
          <cell r="J49">
            <v>2017</v>
          </cell>
          <cell r="K49">
            <v>2018</v>
          </cell>
          <cell r="L49">
            <v>2019</v>
          </cell>
          <cell r="M49">
            <v>2020</v>
          </cell>
          <cell r="N49">
            <v>2021</v>
          </cell>
          <cell r="O49">
            <v>2022</v>
          </cell>
          <cell r="P49">
            <v>2023</v>
          </cell>
          <cell r="Q49" t="str">
            <v>10 жил дундаж</v>
          </cell>
        </row>
        <row r="50">
          <cell r="B50" t="str">
            <v>Эмнэлэгт хэвтсэн хүний тоо</v>
          </cell>
          <cell r="G50">
            <v>124.6</v>
          </cell>
          <cell r="H50">
            <v>142.1</v>
          </cell>
          <cell r="I50">
            <v>159.19999999999999</v>
          </cell>
          <cell r="J50">
            <v>167.9</v>
          </cell>
          <cell r="K50">
            <v>177.5</v>
          </cell>
          <cell r="L50">
            <v>181.9</v>
          </cell>
          <cell r="M50">
            <v>184.1</v>
          </cell>
          <cell r="N50">
            <v>197.8</v>
          </cell>
          <cell r="O50">
            <v>218.9</v>
          </cell>
          <cell r="P50">
            <v>238.3</v>
          </cell>
          <cell r="Q50">
            <v>179.23</v>
          </cell>
        </row>
        <row r="51">
          <cell r="B51" t="str">
            <v>Дундаж ор хоног</v>
          </cell>
          <cell r="G51">
            <v>7.3</v>
          </cell>
          <cell r="H51">
            <v>7</v>
          </cell>
          <cell r="I51">
            <v>7.2</v>
          </cell>
          <cell r="J51">
            <v>6.9629131265740636</v>
          </cell>
          <cell r="K51">
            <v>6.9661956595226826</v>
          </cell>
          <cell r="L51">
            <v>6.9</v>
          </cell>
          <cell r="M51">
            <v>6.7</v>
          </cell>
          <cell r="N51">
            <v>6.6</v>
          </cell>
          <cell r="O51">
            <v>6.3</v>
          </cell>
          <cell r="P51">
            <v>6.3</v>
          </cell>
          <cell r="Q51">
            <v>6.8229108786096742</v>
          </cell>
        </row>
        <row r="61">
          <cell r="G61">
            <v>2014</v>
          </cell>
          <cell r="H61">
            <v>2015</v>
          </cell>
          <cell r="I61">
            <v>2016</v>
          </cell>
          <cell r="J61">
            <v>2017</v>
          </cell>
          <cell r="K61">
            <v>2018</v>
          </cell>
          <cell r="L61">
            <v>2019</v>
          </cell>
          <cell r="M61">
            <v>2020</v>
          </cell>
          <cell r="N61">
            <v>2021</v>
          </cell>
          <cell r="O61">
            <v>2022</v>
          </cell>
          <cell r="P61">
            <v>2023</v>
          </cell>
          <cell r="Q61" t="str">
            <v>10 жил дундаж</v>
          </cell>
        </row>
        <row r="62">
          <cell r="B62" t="str">
            <v>Амбулаторийн үзлэгийн тоо</v>
          </cell>
          <cell r="G62">
            <v>1786.6</v>
          </cell>
          <cell r="H62">
            <v>1912.7</v>
          </cell>
          <cell r="I62">
            <v>2063.5</v>
          </cell>
          <cell r="J62">
            <v>2269.1</v>
          </cell>
          <cell r="K62">
            <v>2485.9</v>
          </cell>
          <cell r="L62">
            <v>2794.3</v>
          </cell>
          <cell r="M62">
            <v>2419.5</v>
          </cell>
          <cell r="N62">
            <v>2602.3000000000002</v>
          </cell>
          <cell r="O62">
            <v>3342</v>
          </cell>
          <cell r="P62">
            <v>3891.3</v>
          </cell>
          <cell r="Q62">
            <v>2556.7199999999998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B5032-4B1B-4A31-8F62-C5E24D07605F}">
  <sheetPr>
    <tabColor rgb="FF187AF0"/>
  </sheetPr>
  <dimension ref="A1:D40"/>
  <sheetViews>
    <sheetView workbookViewId="0">
      <selection activeCell="Y13" sqref="Y13"/>
    </sheetView>
  </sheetViews>
  <sheetFormatPr defaultRowHeight="15"/>
  <sheetData>
    <row r="1" spans="1:1">
      <c r="A1" t="s">
        <v>0</v>
      </c>
    </row>
    <row r="17" spans="1:4">
      <c r="A17" s="151"/>
      <c r="B17" s="152" t="s">
        <v>66</v>
      </c>
      <c r="C17" s="153" t="s">
        <v>67</v>
      </c>
      <c r="D17" s="153" t="s">
        <v>68</v>
      </c>
    </row>
    <row r="18" spans="1:4">
      <c r="A18" s="151"/>
      <c r="B18" s="152"/>
      <c r="C18" s="153"/>
      <c r="D18" s="153"/>
    </row>
    <row r="19" spans="1:4">
      <c r="A19">
        <v>2010</v>
      </c>
      <c r="B19" s="68">
        <v>1572</v>
      </c>
      <c r="C19" s="68">
        <v>319</v>
      </c>
      <c r="D19" s="68">
        <v>560</v>
      </c>
    </row>
    <row r="20" spans="1:4">
      <c r="A20">
        <v>2011</v>
      </c>
      <c r="B20" s="68">
        <v>1555</v>
      </c>
      <c r="C20" s="68">
        <v>334</v>
      </c>
      <c r="D20" s="68">
        <v>573</v>
      </c>
    </row>
    <row r="21" spans="1:4">
      <c r="A21">
        <v>2012</v>
      </c>
      <c r="B21" s="68">
        <v>1855</v>
      </c>
      <c r="C21" s="68">
        <v>412</v>
      </c>
      <c r="D21" s="68">
        <v>665</v>
      </c>
    </row>
    <row r="22" spans="1:4">
      <c r="A22">
        <v>2013</v>
      </c>
      <c r="B22" s="68">
        <v>1869</v>
      </c>
      <c r="C22" s="68">
        <v>428</v>
      </c>
      <c r="D22" s="68">
        <v>663</v>
      </c>
    </row>
    <row r="23" spans="1:4">
      <c r="A23">
        <v>2014</v>
      </c>
      <c r="B23" s="68">
        <v>1680</v>
      </c>
      <c r="C23" s="68">
        <v>430</v>
      </c>
      <c r="D23" s="68">
        <v>690</v>
      </c>
    </row>
    <row r="24" spans="1:4">
      <c r="A24">
        <v>2015</v>
      </c>
      <c r="B24" s="68">
        <v>1926</v>
      </c>
      <c r="C24" s="68">
        <v>449</v>
      </c>
      <c r="D24" s="68">
        <v>694</v>
      </c>
    </row>
    <row r="25" spans="1:4">
      <c r="A25">
        <v>2016</v>
      </c>
      <c r="B25" s="68">
        <v>1945</v>
      </c>
      <c r="C25" s="68">
        <v>449</v>
      </c>
      <c r="D25" s="68">
        <v>706</v>
      </c>
    </row>
    <row r="26" spans="1:4">
      <c r="A26">
        <v>2017</v>
      </c>
      <c r="B26" s="68">
        <v>1957</v>
      </c>
      <c r="C26" s="68">
        <v>457</v>
      </c>
      <c r="D26" s="68">
        <v>714</v>
      </c>
    </row>
    <row r="27" spans="1:4">
      <c r="A27">
        <v>2018</v>
      </c>
      <c r="B27" s="68">
        <v>2050</v>
      </c>
      <c r="C27" s="68">
        <v>481</v>
      </c>
      <c r="D27" s="68">
        <v>730</v>
      </c>
    </row>
    <row r="28" spans="1:4">
      <c r="A28">
        <v>2019</v>
      </c>
      <c r="B28" s="68">
        <v>2090</v>
      </c>
      <c r="C28" s="68">
        <v>522</v>
      </c>
      <c r="D28" s="68">
        <v>747</v>
      </c>
    </row>
    <row r="29" spans="1:4">
      <c r="A29">
        <v>2020</v>
      </c>
      <c r="B29" s="68">
        <v>2112</v>
      </c>
      <c r="C29" s="68">
        <v>514</v>
      </c>
      <c r="D29" s="68">
        <v>766</v>
      </c>
    </row>
    <row r="30" spans="1:4">
      <c r="A30">
        <v>2021</v>
      </c>
      <c r="B30" s="68">
        <v>2164</v>
      </c>
      <c r="C30" s="68">
        <v>511</v>
      </c>
      <c r="D30" s="68">
        <v>793</v>
      </c>
    </row>
    <row r="31" spans="1:4">
      <c r="A31">
        <v>2022</v>
      </c>
      <c r="B31" s="68">
        <v>2184</v>
      </c>
      <c r="C31" s="68">
        <v>532</v>
      </c>
      <c r="D31" s="68">
        <v>792</v>
      </c>
    </row>
    <row r="32" spans="1:4">
      <c r="A32">
        <v>2023</v>
      </c>
      <c r="B32" s="68">
        <v>2247</v>
      </c>
      <c r="C32" s="68">
        <v>557</v>
      </c>
      <c r="D32" s="68">
        <v>800</v>
      </c>
    </row>
    <row r="33" spans="1:4">
      <c r="A33">
        <v>2024</v>
      </c>
      <c r="B33" s="67">
        <v>2256</v>
      </c>
      <c r="C33" s="67">
        <v>554</v>
      </c>
      <c r="D33" s="67">
        <v>817</v>
      </c>
    </row>
    <row r="34" spans="1:4">
      <c r="C34" s="11">
        <f>+C31*100/B31</f>
        <v>24.358974358974358</v>
      </c>
      <c r="D34" s="11">
        <f>+D31*100/B31</f>
        <v>36.263736263736263</v>
      </c>
    </row>
    <row r="35" spans="1:4">
      <c r="B35">
        <v>300</v>
      </c>
      <c r="C35" s="11">
        <f>+B35*100/B31</f>
        <v>13.736263736263735</v>
      </c>
    </row>
    <row r="37" spans="1:4">
      <c r="B37" s="11">
        <f>100-B23/B32*100</f>
        <v>25.233644859813083</v>
      </c>
      <c r="C37" s="11">
        <f>100-C23/C32*100</f>
        <v>22.800718132854584</v>
      </c>
      <c r="D37" s="11">
        <f>100-D23/D32*100</f>
        <v>13.75</v>
      </c>
    </row>
    <row r="39" spans="1:4">
      <c r="B39" s="68">
        <f>B33-B24</f>
        <v>330</v>
      </c>
      <c r="C39" s="68">
        <f>C33-C24</f>
        <v>105</v>
      </c>
      <c r="D39" s="68">
        <f>D33-D24</f>
        <v>123</v>
      </c>
    </row>
    <row r="40" spans="1:4">
      <c r="B40" s="70">
        <f>B39*100/B24</f>
        <v>17.133956386292834</v>
      </c>
      <c r="C40" s="70">
        <f t="shared" ref="C40:D40" si="0">C39*100/C24</f>
        <v>23.385300668151448</v>
      </c>
      <c r="D40" s="70">
        <f t="shared" si="0"/>
        <v>17.723342939481267</v>
      </c>
    </row>
  </sheetData>
  <mergeCells count="4">
    <mergeCell ref="A17:A18"/>
    <mergeCell ref="B17:B18"/>
    <mergeCell ref="C17:C18"/>
    <mergeCell ref="D17:D1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C16B8-3CE9-41B3-9C1C-371953A3538C}">
  <sheetPr>
    <tabColor rgb="FF187AF0"/>
  </sheetPr>
  <dimension ref="A1:X18"/>
  <sheetViews>
    <sheetView topLeftCell="A10" workbookViewId="0">
      <selection activeCell="W16" sqref="W16"/>
    </sheetView>
  </sheetViews>
  <sheetFormatPr defaultRowHeight="15"/>
  <sheetData>
    <row r="1" spans="1:24">
      <c r="A1" t="s">
        <v>8</v>
      </c>
    </row>
    <row r="2" spans="1:24" ht="15.75" thickBot="1"/>
    <row r="3" spans="1:24" s="13" customFormat="1" ht="21" customHeight="1">
      <c r="A3" s="161" t="s">
        <v>52</v>
      </c>
      <c r="B3" s="46"/>
      <c r="C3" s="46"/>
      <c r="D3" s="46"/>
      <c r="E3" s="161" t="s">
        <v>145</v>
      </c>
      <c r="F3" s="161"/>
      <c r="G3" s="161"/>
      <c r="H3" s="161"/>
      <c r="I3" s="161"/>
      <c r="J3" s="161"/>
      <c r="K3" s="46"/>
      <c r="L3" s="46"/>
      <c r="M3" s="47"/>
      <c r="N3" s="48"/>
      <c r="O3" s="48"/>
      <c r="P3" s="48"/>
    </row>
    <row r="4" spans="1:24" s="13" customFormat="1" ht="18" customHeight="1" thickBot="1">
      <c r="A4" s="162"/>
      <c r="B4" s="49" t="s">
        <v>117</v>
      </c>
      <c r="C4" s="49" t="s">
        <v>118</v>
      </c>
      <c r="D4" s="49" t="s">
        <v>119</v>
      </c>
      <c r="E4" s="49">
        <v>2013</v>
      </c>
      <c r="F4" s="49">
        <v>2014</v>
      </c>
      <c r="G4" s="49">
        <v>2015</v>
      </c>
      <c r="H4" s="49">
        <v>2016</v>
      </c>
      <c r="I4" s="49">
        <v>2017</v>
      </c>
      <c r="J4" s="49">
        <v>2018</v>
      </c>
      <c r="K4" s="49">
        <v>2019</v>
      </c>
      <c r="L4" s="49">
        <v>2020</v>
      </c>
      <c r="M4" s="49">
        <v>2021</v>
      </c>
      <c r="N4" s="49">
        <v>2022</v>
      </c>
      <c r="O4" s="49">
        <v>2023</v>
      </c>
      <c r="P4" s="49">
        <v>2024</v>
      </c>
    </row>
    <row r="5" spans="1:24" s="13" customFormat="1" ht="25.5" customHeight="1">
      <c r="A5" s="17" t="s">
        <v>115</v>
      </c>
      <c r="B5" s="17">
        <v>3995</v>
      </c>
      <c r="C5" s="17">
        <v>3995</v>
      </c>
      <c r="D5" s="17">
        <v>4085</v>
      </c>
      <c r="E5" s="40">
        <v>4187</v>
      </c>
      <c r="F5" s="40">
        <v>3818</v>
      </c>
      <c r="G5" s="40">
        <v>3837</v>
      </c>
      <c r="H5" s="40">
        <v>3937</v>
      </c>
      <c r="I5" s="40">
        <v>3941</v>
      </c>
      <c r="J5" s="40">
        <v>3990</v>
      </c>
      <c r="K5" s="40">
        <v>3989</v>
      </c>
      <c r="L5" s="40"/>
      <c r="M5" s="50"/>
      <c r="N5" s="50">
        <v>4795</v>
      </c>
      <c r="O5" s="50">
        <v>5003</v>
      </c>
      <c r="P5" s="50">
        <v>5257</v>
      </c>
    </row>
    <row r="6" spans="1:24" s="13" customFormat="1" ht="25.5" customHeight="1">
      <c r="A6" s="17" t="s">
        <v>141</v>
      </c>
      <c r="B6" s="17">
        <v>1207</v>
      </c>
      <c r="C6" s="17">
        <v>1280</v>
      </c>
      <c r="D6" s="17">
        <v>1327</v>
      </c>
      <c r="E6" s="40">
        <v>1383</v>
      </c>
      <c r="F6" s="40">
        <v>1229</v>
      </c>
      <c r="G6" s="40">
        <v>1221</v>
      </c>
      <c r="H6" s="40">
        <v>1217</v>
      </c>
      <c r="I6" s="40">
        <v>1225</v>
      </c>
      <c r="J6" s="40">
        <v>1258</v>
      </c>
      <c r="K6" s="40">
        <v>1380</v>
      </c>
      <c r="L6" s="40"/>
      <c r="M6" s="50"/>
      <c r="N6" s="50">
        <v>1561</v>
      </c>
      <c r="O6" s="50">
        <v>1646</v>
      </c>
      <c r="P6" s="50"/>
      <c r="U6" s="13">
        <f>406*100/2097</f>
        <v>19.360991893180735</v>
      </c>
    </row>
    <row r="7" spans="1:24" s="13" customFormat="1" ht="25.5" customHeight="1">
      <c r="A7" s="17" t="s">
        <v>142</v>
      </c>
      <c r="B7" s="17">
        <v>1866</v>
      </c>
      <c r="C7" s="17">
        <v>1937</v>
      </c>
      <c r="D7" s="17">
        <v>1988</v>
      </c>
      <c r="E7" s="40">
        <v>2071</v>
      </c>
      <c r="F7" s="40">
        <v>1879</v>
      </c>
      <c r="G7" s="40">
        <v>1912</v>
      </c>
      <c r="H7" s="40">
        <v>1917</v>
      </c>
      <c r="I7" s="40">
        <v>1943</v>
      </c>
      <c r="J7" s="40">
        <v>2035</v>
      </c>
      <c r="K7" s="40">
        <v>2158</v>
      </c>
      <c r="L7" s="40"/>
      <c r="M7" s="50"/>
      <c r="N7" s="50">
        <v>2135</v>
      </c>
      <c r="O7" s="50">
        <v>2228</v>
      </c>
      <c r="P7" s="50"/>
    </row>
    <row r="8" spans="1:24" s="13" customFormat="1" ht="25.5" customHeight="1">
      <c r="A8" s="17" t="s">
        <v>16</v>
      </c>
      <c r="B8" s="17">
        <v>10</v>
      </c>
      <c r="C8" s="17">
        <v>9.9</v>
      </c>
      <c r="D8" s="17">
        <v>9.1999999999999993</v>
      </c>
      <c r="E8" s="43">
        <v>9.5</v>
      </c>
      <c r="F8" s="43">
        <v>9.4</v>
      </c>
      <c r="G8" s="43">
        <v>8.9</v>
      </c>
      <c r="H8" s="43">
        <v>8.6999999999999993</v>
      </c>
      <c r="I8" s="43">
        <v>8.6</v>
      </c>
      <c r="J8" s="43">
        <f>1330996/159491</f>
        <v>8.3452734010069527</v>
      </c>
      <c r="K8" s="43">
        <v>8.1999999999999993</v>
      </c>
      <c r="L8" s="43"/>
      <c r="M8" s="43"/>
      <c r="N8" s="33">
        <f>1427333/192134.5</f>
        <v>7.42882199709058</v>
      </c>
      <c r="O8" s="33">
        <v>7.4</v>
      </c>
      <c r="P8" s="33">
        <v>7</v>
      </c>
    </row>
    <row r="9" spans="1:24" s="13" customFormat="1" ht="25.5" customHeight="1">
      <c r="A9" s="17" t="s">
        <v>17</v>
      </c>
      <c r="B9" s="17">
        <v>23.5</v>
      </c>
      <c r="C9" s="17">
        <v>21.2</v>
      </c>
      <c r="D9" s="17">
        <v>22.3</v>
      </c>
      <c r="E9" s="51">
        <v>24.5</v>
      </c>
      <c r="F9" s="51">
        <v>27.9</v>
      </c>
      <c r="G9" s="51">
        <v>20.5</v>
      </c>
      <c r="H9" s="51">
        <v>20.3</v>
      </c>
      <c r="I9" s="51">
        <f>349*100/1924</f>
        <v>18.139293139293141</v>
      </c>
      <c r="J9" s="51">
        <f>323*100/1598</f>
        <v>20.212765957446809</v>
      </c>
      <c r="K9" s="51">
        <v>19.399999999999999</v>
      </c>
      <c r="L9" s="51"/>
      <c r="M9" s="43"/>
      <c r="N9" s="43">
        <v>20.100000000000001</v>
      </c>
      <c r="O9" s="43">
        <v>17.2</v>
      </c>
      <c r="P9" s="116"/>
    </row>
    <row r="10" spans="1:24" s="13" customFormat="1" ht="25.5" customHeight="1">
      <c r="A10" s="17" t="s">
        <v>143</v>
      </c>
      <c r="B10" s="17">
        <v>135248</v>
      </c>
      <c r="C10" s="17">
        <v>137929</v>
      </c>
      <c r="D10" s="17">
        <v>141381</v>
      </c>
      <c r="E10" s="40">
        <v>146375</v>
      </c>
      <c r="F10" s="40">
        <v>134088</v>
      </c>
      <c r="G10" s="40">
        <v>141977</v>
      </c>
      <c r="H10" s="40">
        <v>146033</v>
      </c>
      <c r="I10" s="40">
        <v>149647.5</v>
      </c>
      <c r="J10" s="40">
        <v>159491</v>
      </c>
      <c r="K10" s="40">
        <v>157911</v>
      </c>
      <c r="L10" s="40"/>
      <c r="M10" s="50"/>
      <c r="N10" s="43">
        <v>192134.5</v>
      </c>
      <c r="O10" s="43">
        <v>196723.5</v>
      </c>
      <c r="P10" s="43">
        <v>215696.5</v>
      </c>
    </row>
    <row r="11" spans="1:24" s="13" customFormat="1" ht="25.5" customHeight="1">
      <c r="A11" s="17" t="s">
        <v>146</v>
      </c>
      <c r="B11" s="17">
        <v>1187610</v>
      </c>
      <c r="C11" s="17">
        <v>1200639</v>
      </c>
      <c r="D11" s="17">
        <v>1237295</v>
      </c>
      <c r="E11" s="18">
        <v>1385032</v>
      </c>
      <c r="F11" s="18">
        <v>1233558</v>
      </c>
      <c r="G11" s="18">
        <v>1279401</v>
      </c>
      <c r="H11" s="18">
        <v>1285282</v>
      </c>
      <c r="I11" s="18">
        <v>1398742</v>
      </c>
      <c r="J11" s="18">
        <v>1395449</v>
      </c>
      <c r="K11" s="18">
        <v>1467292</v>
      </c>
      <c r="L11" s="18"/>
      <c r="M11" s="50"/>
      <c r="N11" s="52">
        <v>1929223</v>
      </c>
      <c r="O11" s="52">
        <v>2259168</v>
      </c>
      <c r="P11" s="52">
        <v>2205457</v>
      </c>
      <c r="Q11" s="13" t="s">
        <v>147</v>
      </c>
      <c r="S11" s="53">
        <f>+B11-N11</f>
        <v>-741613</v>
      </c>
    </row>
    <row r="12" spans="1:24" s="13" customFormat="1" ht="25.5" customHeight="1" thickBot="1">
      <c r="A12" s="54" t="s">
        <v>148</v>
      </c>
      <c r="B12" s="54">
        <v>33622</v>
      </c>
      <c r="C12" s="54">
        <v>34741</v>
      </c>
      <c r="D12" s="54">
        <v>32007</v>
      </c>
      <c r="E12" s="55">
        <v>39380</v>
      </c>
      <c r="F12" s="55">
        <v>30355</v>
      </c>
      <c r="G12" s="55">
        <v>30520</v>
      </c>
      <c r="H12" s="55">
        <v>44040</v>
      </c>
      <c r="I12" s="55">
        <v>30283</v>
      </c>
      <c r="J12" s="55">
        <v>36434</v>
      </c>
      <c r="K12" s="55">
        <v>36372</v>
      </c>
      <c r="L12" s="55"/>
      <c r="M12" s="56"/>
      <c r="N12" s="50">
        <v>31833</v>
      </c>
      <c r="O12" s="50">
        <v>29945</v>
      </c>
      <c r="P12" s="50">
        <v>20144</v>
      </c>
    </row>
    <row r="13" spans="1:24" s="13" customFormat="1">
      <c r="V13"/>
      <c r="W13" s="85" t="s">
        <v>156</v>
      </c>
      <c r="X13" s="13" t="s">
        <v>130</v>
      </c>
    </row>
    <row r="14" spans="1:24" s="13" customFormat="1">
      <c r="V14" s="68" t="s">
        <v>159</v>
      </c>
      <c r="W14" s="68">
        <v>1517956</v>
      </c>
      <c r="X14" s="13">
        <v>1457719</v>
      </c>
    </row>
    <row r="15" spans="1:24" s="13" customFormat="1" ht="15" customHeight="1">
      <c r="V15" s="83" t="s">
        <v>143</v>
      </c>
      <c r="W15" s="68">
        <v>215696.5</v>
      </c>
      <c r="X15" s="13">
        <v>196723.5</v>
      </c>
    </row>
    <row r="16" spans="1:24" s="13" customFormat="1" ht="25.5">
      <c r="B16" s="13">
        <v>2010</v>
      </c>
      <c r="C16" s="13">
        <v>2011</v>
      </c>
      <c r="D16" s="13">
        <v>2012</v>
      </c>
      <c r="E16" s="13">
        <v>2013</v>
      </c>
      <c r="F16" s="13">
        <v>2014</v>
      </c>
      <c r="G16" s="13">
        <v>2015</v>
      </c>
      <c r="H16" s="13">
        <v>2016</v>
      </c>
      <c r="I16" s="13">
        <v>2017</v>
      </c>
      <c r="J16" s="13">
        <v>2018</v>
      </c>
      <c r="K16" s="13">
        <v>2019</v>
      </c>
      <c r="L16" s="13">
        <v>2020</v>
      </c>
      <c r="M16" s="13">
        <v>2021</v>
      </c>
      <c r="N16" s="13">
        <v>2022</v>
      </c>
      <c r="O16" s="13">
        <v>2023</v>
      </c>
      <c r="P16" s="13">
        <v>2024</v>
      </c>
      <c r="Q16" s="19" t="s">
        <v>112</v>
      </c>
      <c r="R16" s="20" t="s">
        <v>113</v>
      </c>
      <c r="S16" s="21" t="s">
        <v>114</v>
      </c>
      <c r="V16" s="83" t="s">
        <v>16</v>
      </c>
      <c r="W16" s="84">
        <f>W14/W15</f>
        <v>7.0374623603071909</v>
      </c>
      <c r="X16" s="28">
        <f>X14/X15</f>
        <v>7.4099891472040706</v>
      </c>
    </row>
    <row r="17" spans="1:19" s="13" customFormat="1" ht="51">
      <c r="A17" s="17" t="s">
        <v>143</v>
      </c>
      <c r="B17" s="17">
        <v>135.30000000000001</v>
      </c>
      <c r="C17" s="17">
        <v>137.9</v>
      </c>
      <c r="D17" s="17">
        <v>141.4</v>
      </c>
      <c r="E17" s="40">
        <v>146.4</v>
      </c>
      <c r="F17" s="40">
        <v>134.1</v>
      </c>
      <c r="G17" s="40">
        <v>141.9</v>
      </c>
      <c r="H17" s="43">
        <v>146</v>
      </c>
      <c r="I17" s="40">
        <v>149.6</v>
      </c>
      <c r="J17" s="40">
        <v>159.5</v>
      </c>
      <c r="K17" s="40">
        <v>157.9</v>
      </c>
      <c r="L17" s="40">
        <v>163.6</v>
      </c>
      <c r="M17" s="40">
        <v>192.8</v>
      </c>
      <c r="N17" s="40">
        <v>192.1</v>
      </c>
      <c r="O17" s="40">
        <v>196.7</v>
      </c>
      <c r="P17" s="40">
        <v>215.7</v>
      </c>
      <c r="Q17" s="24">
        <f>AVERAGE(G17:P17)</f>
        <v>171.57999999999998</v>
      </c>
      <c r="R17" s="25">
        <f>+P17-Q17</f>
        <v>44.120000000000005</v>
      </c>
      <c r="S17" s="26">
        <f>P17-O17</f>
        <v>19</v>
      </c>
    </row>
    <row r="18" spans="1:19" s="45" customFormat="1" ht="102">
      <c r="A18" s="78" t="s">
        <v>144</v>
      </c>
      <c r="B18" s="44">
        <f>B12*100/B10</f>
        <v>24.859517331125044</v>
      </c>
      <c r="C18" s="44">
        <f t="shared" ref="C18:H18" si="0">C12*100/C10</f>
        <v>25.187596517048625</v>
      </c>
      <c r="D18" s="44">
        <f t="shared" si="0"/>
        <v>22.638826999384641</v>
      </c>
      <c r="E18" s="44">
        <f>E12*100/E10</f>
        <v>26.903501280956448</v>
      </c>
      <c r="F18" s="44">
        <f t="shared" si="0"/>
        <v>22.638118250701034</v>
      </c>
      <c r="G18" s="44">
        <f t="shared" si="0"/>
        <v>21.496439564154759</v>
      </c>
      <c r="H18" s="44">
        <f t="shared" si="0"/>
        <v>30.157567125238817</v>
      </c>
      <c r="I18" s="44">
        <f>I12*100/I10</f>
        <v>20.236221787868157</v>
      </c>
      <c r="J18" s="44">
        <f>J12*100/J10</f>
        <v>22.843922227586511</v>
      </c>
      <c r="K18" s="44">
        <f>K12*100/K10</f>
        <v>23.033227577559511</v>
      </c>
      <c r="L18" s="44">
        <v>18.3</v>
      </c>
      <c r="M18" s="44">
        <v>10.199999999999999</v>
      </c>
      <c r="N18" s="44">
        <f>N12*100/N10</f>
        <v>16.568081213941277</v>
      </c>
      <c r="O18" s="44">
        <f>O12*100/O10</f>
        <v>15.22187232333707</v>
      </c>
      <c r="P18" s="79">
        <f>P12*100/P10</f>
        <v>9.3390481533080045</v>
      </c>
      <c r="Q18" s="24">
        <f>AVERAGE(G18:P18)</f>
        <v>18.739637997299408</v>
      </c>
      <c r="R18" s="25">
        <f>+Q18-P18</f>
        <v>9.4005898439914031</v>
      </c>
      <c r="S18" s="26">
        <f>P18-O18</f>
        <v>-5.8828241700290658</v>
      </c>
    </row>
  </sheetData>
  <mergeCells count="2">
    <mergeCell ref="A3:A4"/>
    <mergeCell ref="E3:J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C97F0-A6EE-4E7C-B009-50F3C7989B4D}">
  <sheetPr>
    <tabColor theme="4" tint="0.79998168889431442"/>
  </sheetPr>
  <dimension ref="A1:S65"/>
  <sheetViews>
    <sheetView workbookViewId="0">
      <selection activeCell="J30" sqref="J30"/>
    </sheetView>
  </sheetViews>
  <sheetFormatPr defaultRowHeight="15"/>
  <cols>
    <col min="1" max="1" width="26.85546875" customWidth="1"/>
  </cols>
  <sheetData>
    <row r="1" spans="1:19">
      <c r="A1" t="s">
        <v>9</v>
      </c>
    </row>
    <row r="9" spans="1:19" s="13" customFormat="1">
      <c r="B9" s="13">
        <v>2010</v>
      </c>
      <c r="C9" s="13">
        <v>2011</v>
      </c>
      <c r="D9" s="13">
        <v>2012</v>
      </c>
      <c r="E9" s="13">
        <v>2013</v>
      </c>
      <c r="F9" s="13">
        <v>2014</v>
      </c>
      <c r="G9" s="13">
        <v>2015</v>
      </c>
      <c r="H9" s="13">
        <v>2016</v>
      </c>
      <c r="I9" s="13">
        <v>2017</v>
      </c>
      <c r="J9" s="13">
        <v>2018</v>
      </c>
      <c r="K9" s="13">
        <v>2019</v>
      </c>
      <c r="L9" s="13">
        <v>2020</v>
      </c>
      <c r="M9" s="13">
        <v>2021</v>
      </c>
      <c r="N9" s="13">
        <v>2022</v>
      </c>
      <c r="O9" s="13">
        <v>2023</v>
      </c>
      <c r="P9" s="13">
        <v>2024</v>
      </c>
      <c r="Q9" s="19" t="s">
        <v>112</v>
      </c>
      <c r="R9" s="20" t="s">
        <v>113</v>
      </c>
      <c r="S9" s="21" t="s">
        <v>114</v>
      </c>
    </row>
    <row r="10" spans="1:19" s="13" customFormat="1">
      <c r="A10" s="17" t="s">
        <v>16</v>
      </c>
      <c r="B10" s="17">
        <v>10</v>
      </c>
      <c r="C10" s="17">
        <v>9.9</v>
      </c>
      <c r="D10" s="17">
        <v>9.1999999999999993</v>
      </c>
      <c r="E10" s="43">
        <v>9.5</v>
      </c>
      <c r="F10" s="43">
        <v>9.4</v>
      </c>
      <c r="G10" s="43">
        <v>8.9</v>
      </c>
      <c r="H10" s="43">
        <v>8.6999999999999993</v>
      </c>
      <c r="I10" s="43">
        <v>8.6</v>
      </c>
      <c r="J10" s="43">
        <f>1330996/159491</f>
        <v>8.3452734010069527</v>
      </c>
      <c r="K10" s="43">
        <v>8.1999999999999993</v>
      </c>
      <c r="L10" s="43">
        <v>7.4</v>
      </c>
      <c r="M10" s="43">
        <v>7.6</v>
      </c>
      <c r="N10" s="43">
        <v>7.4</v>
      </c>
      <c r="O10" s="43">
        <v>7.4</v>
      </c>
      <c r="P10" s="117">
        <v>7</v>
      </c>
      <c r="Q10" s="57">
        <f>AVERAGE(G10:P10)</f>
        <v>7.9545273401006966</v>
      </c>
      <c r="R10" s="27">
        <f>+P10-Q10</f>
        <v>-0.95452734010069662</v>
      </c>
      <c r="S10" s="58">
        <f>+P10-O10</f>
        <v>-0.40000000000000036</v>
      </c>
    </row>
    <row r="11" spans="1:19" s="13" customFormat="1" ht="26.25">
      <c r="A11" s="17" t="s">
        <v>17</v>
      </c>
      <c r="B11" s="17">
        <v>23.5</v>
      </c>
      <c r="C11" s="17">
        <v>21.2</v>
      </c>
      <c r="D11" s="17">
        <v>22.3</v>
      </c>
      <c r="E11" s="51">
        <v>24.5</v>
      </c>
      <c r="F11" s="51">
        <v>27.9</v>
      </c>
      <c r="G11" s="51">
        <v>20.5</v>
      </c>
      <c r="H11" s="51">
        <v>20.3</v>
      </c>
      <c r="I11" s="51">
        <f>349*100/1924</f>
        <v>18.139293139293141</v>
      </c>
      <c r="J11" s="51">
        <f>323*100/1598</f>
        <v>20.212765957446809</v>
      </c>
      <c r="K11" s="51">
        <v>19.399999999999999</v>
      </c>
      <c r="L11" s="51">
        <v>19.899999999999999</v>
      </c>
      <c r="M11" s="51">
        <v>17.5</v>
      </c>
      <c r="N11" s="51">
        <v>20.100000000000001</v>
      </c>
      <c r="O11" s="51">
        <v>18.100000000000001</v>
      </c>
      <c r="P11" s="51"/>
      <c r="Q11" s="57">
        <f>AVERAGE(F11:O11)</f>
        <v>20.205205909673996</v>
      </c>
      <c r="R11" s="27">
        <f>+O11-Q11</f>
        <v>-2.1052059096739946</v>
      </c>
      <c r="S11" s="58">
        <f>+O11-N11</f>
        <v>-2</v>
      </c>
    </row>
    <row r="31" spans="1:3">
      <c r="A31" s="68"/>
      <c r="B31" s="68"/>
      <c r="C31" s="106" t="s">
        <v>195</v>
      </c>
    </row>
    <row r="32" spans="1:3">
      <c r="A32" s="163" t="s">
        <v>207</v>
      </c>
      <c r="B32" s="68" t="s">
        <v>192</v>
      </c>
      <c r="C32" s="68">
        <v>1517956</v>
      </c>
    </row>
    <row r="33" spans="1:7">
      <c r="A33" s="163"/>
      <c r="B33" s="68" t="s">
        <v>187</v>
      </c>
      <c r="C33" s="68">
        <v>5257</v>
      </c>
    </row>
    <row r="34" spans="1:7">
      <c r="A34" s="163"/>
      <c r="B34" s="68" t="s">
        <v>190</v>
      </c>
      <c r="C34" s="68">
        <f>C32/C33</f>
        <v>288.74947688795891</v>
      </c>
    </row>
    <row r="35" spans="1:7">
      <c r="A35" s="163"/>
      <c r="B35" s="68" t="s">
        <v>193</v>
      </c>
      <c r="C35" s="84">
        <f>C34*100/366</f>
        <v>78.893299696163638</v>
      </c>
      <c r="D35" t="s">
        <v>208</v>
      </c>
    </row>
    <row r="36" spans="1:7">
      <c r="A36" s="154" t="s">
        <v>191</v>
      </c>
      <c r="B36" s="68" t="s">
        <v>189</v>
      </c>
      <c r="C36" s="68">
        <v>7064464</v>
      </c>
    </row>
    <row r="37" spans="1:7">
      <c r="A37" s="154"/>
      <c r="B37" s="68" t="s">
        <v>187</v>
      </c>
      <c r="C37" s="68">
        <v>30117</v>
      </c>
    </row>
    <row r="38" spans="1:7">
      <c r="A38" s="154"/>
      <c r="B38" s="68" t="s">
        <v>190</v>
      </c>
      <c r="C38" s="68">
        <f>C36/C37</f>
        <v>234.56732078228242</v>
      </c>
    </row>
    <row r="39" spans="1:7">
      <c r="A39" s="155"/>
      <c r="B39" s="68" t="s">
        <v>188</v>
      </c>
      <c r="C39" s="120">
        <f>C38*100/366</f>
        <v>64.08943190772743</v>
      </c>
      <c r="D39" s="11">
        <f>C35-C39</f>
        <v>14.803867788436207</v>
      </c>
    </row>
    <row r="41" spans="1:7" ht="75">
      <c r="A41" s="111" t="s">
        <v>209</v>
      </c>
      <c r="B41" s="118" t="s">
        <v>210</v>
      </c>
      <c r="C41" s="118" t="s">
        <v>211</v>
      </c>
      <c r="D41" s="118" t="s">
        <v>212</v>
      </c>
    </row>
    <row r="42" spans="1:7">
      <c r="A42" s="121" t="s">
        <v>160</v>
      </c>
      <c r="B42" s="122">
        <v>191771</v>
      </c>
      <c r="C42" s="122">
        <v>28869.5</v>
      </c>
      <c r="D42" s="11">
        <f>B42/C42</f>
        <v>6.6426851867888255</v>
      </c>
      <c r="E42" s="119">
        <v>183222</v>
      </c>
      <c r="F42" s="119">
        <v>28012</v>
      </c>
      <c r="G42" s="11">
        <f>E42/F42</f>
        <v>6.5408396401542195</v>
      </c>
    </row>
    <row r="43" spans="1:7">
      <c r="A43" s="102" t="s">
        <v>161</v>
      </c>
      <c r="B43" s="119">
        <v>158806</v>
      </c>
      <c r="C43" s="119">
        <v>24829.5</v>
      </c>
      <c r="D43" s="11">
        <f t="shared" ref="D43:D62" si="0">B43/C43</f>
        <v>6.3958597635876675</v>
      </c>
      <c r="E43" s="119">
        <v>152344</v>
      </c>
      <c r="F43" s="119">
        <v>24275</v>
      </c>
      <c r="G43" s="11">
        <f t="shared" ref="G43:G62" si="1">E43/F43</f>
        <v>6.2757569515962928</v>
      </c>
    </row>
    <row r="44" spans="1:7">
      <c r="A44" s="102" t="s">
        <v>162</v>
      </c>
      <c r="B44" s="119">
        <v>205695</v>
      </c>
      <c r="C44" s="119">
        <v>46322.5</v>
      </c>
      <c r="D44" s="11">
        <f t="shared" si="0"/>
        <v>4.4404986777483941</v>
      </c>
      <c r="E44" s="119">
        <v>88713</v>
      </c>
      <c r="F44" s="119">
        <v>18107.5</v>
      </c>
      <c r="G44" s="11">
        <f t="shared" si="1"/>
        <v>4.8992406461411013</v>
      </c>
    </row>
    <row r="45" spans="1:7">
      <c r="A45" s="102" t="s">
        <v>163</v>
      </c>
      <c r="B45" s="119">
        <v>50288</v>
      </c>
      <c r="C45" s="119">
        <v>8793</v>
      </c>
      <c r="D45" s="11">
        <f t="shared" si="0"/>
        <v>5.7190947344478564</v>
      </c>
      <c r="E45" s="119">
        <v>85203</v>
      </c>
      <c r="F45" s="119">
        <v>13634.5</v>
      </c>
      <c r="G45" s="11">
        <f t="shared" si="1"/>
        <v>6.2490740401188161</v>
      </c>
    </row>
    <row r="46" spans="1:7">
      <c r="A46" s="102" t="s">
        <v>164</v>
      </c>
      <c r="B46" s="119">
        <v>73219</v>
      </c>
      <c r="C46" s="119">
        <v>8011</v>
      </c>
      <c r="D46" s="115">
        <f t="shared" si="0"/>
        <v>9.1398077643240541</v>
      </c>
      <c r="E46" s="119">
        <v>156051</v>
      </c>
      <c r="F46" s="119">
        <v>19614.5</v>
      </c>
      <c r="G46" s="11">
        <f t="shared" si="1"/>
        <v>7.9558999719595196</v>
      </c>
    </row>
    <row r="47" spans="1:7">
      <c r="A47" s="102" t="s">
        <v>165</v>
      </c>
      <c r="B47" s="119">
        <v>85523</v>
      </c>
      <c r="C47" s="119">
        <v>11631.5</v>
      </c>
      <c r="D47" s="11">
        <f t="shared" si="0"/>
        <v>7.3527060138417228</v>
      </c>
      <c r="E47" s="119">
        <v>93832</v>
      </c>
      <c r="F47" s="119">
        <v>12767.5</v>
      </c>
      <c r="G47" s="11">
        <f t="shared" si="1"/>
        <v>7.3492852946935576</v>
      </c>
    </row>
    <row r="48" spans="1:7">
      <c r="A48" s="102" t="s">
        <v>166</v>
      </c>
      <c r="B48" s="119">
        <v>36936</v>
      </c>
      <c r="C48" s="119">
        <v>4817</v>
      </c>
      <c r="D48" s="11">
        <f t="shared" si="0"/>
        <v>7.6678430558438864</v>
      </c>
      <c r="E48" s="119">
        <v>35552</v>
      </c>
      <c r="F48" s="119">
        <v>4577.5</v>
      </c>
      <c r="G48" s="11">
        <f t="shared" si="1"/>
        <v>7.7666848716548333</v>
      </c>
    </row>
    <row r="49" spans="1:7">
      <c r="A49" s="102" t="s">
        <v>167</v>
      </c>
      <c r="B49" s="119">
        <v>43972</v>
      </c>
      <c r="C49" s="119">
        <v>2036</v>
      </c>
      <c r="D49" s="115">
        <f t="shared" si="0"/>
        <v>21.597249508840864</v>
      </c>
      <c r="E49" s="119">
        <v>39427</v>
      </c>
      <c r="F49" s="119">
        <v>2201.5</v>
      </c>
      <c r="G49" s="11">
        <f t="shared" si="1"/>
        <v>17.90915285032932</v>
      </c>
    </row>
    <row r="50" spans="1:7">
      <c r="A50" s="102" t="s">
        <v>168</v>
      </c>
      <c r="B50" s="119">
        <v>59187</v>
      </c>
      <c r="C50" s="119">
        <v>8423</v>
      </c>
      <c r="D50" s="11">
        <f t="shared" si="0"/>
        <v>7.0268312952629701</v>
      </c>
      <c r="E50" s="119">
        <v>61508</v>
      </c>
      <c r="F50" s="119">
        <v>8324</v>
      </c>
      <c r="G50" s="11">
        <f t="shared" si="1"/>
        <v>7.3892359442575684</v>
      </c>
    </row>
    <row r="51" spans="1:7">
      <c r="A51" s="102" t="s">
        <v>169</v>
      </c>
      <c r="B51" s="119">
        <v>237805</v>
      </c>
      <c r="C51" s="119">
        <v>15113.5</v>
      </c>
      <c r="D51" s="115">
        <f t="shared" si="0"/>
        <v>15.734608131802693</v>
      </c>
      <c r="E51" s="119">
        <v>201516</v>
      </c>
      <c r="F51" s="119">
        <v>9895</v>
      </c>
      <c r="G51" s="11">
        <f t="shared" si="1"/>
        <v>20.365437089439112</v>
      </c>
    </row>
    <row r="52" spans="1:7">
      <c r="A52" s="102" t="s">
        <v>170</v>
      </c>
      <c r="B52" s="119">
        <v>173167</v>
      </c>
      <c r="C52" s="119">
        <v>22942.5</v>
      </c>
      <c r="D52" s="11">
        <f t="shared" si="0"/>
        <v>7.5478696741854634</v>
      </c>
      <c r="E52" s="119">
        <v>155734</v>
      </c>
      <c r="F52" s="119">
        <v>20735.5</v>
      </c>
      <c r="G52" s="11">
        <f t="shared" si="1"/>
        <v>7.510501314171349</v>
      </c>
    </row>
    <row r="53" spans="1:7">
      <c r="A53" s="102" t="s">
        <v>171</v>
      </c>
      <c r="B53" s="119">
        <v>32342</v>
      </c>
      <c r="C53" s="119">
        <v>3767</v>
      </c>
      <c r="D53" s="57">
        <f t="shared" si="0"/>
        <v>8.5856118927528531</v>
      </c>
      <c r="E53" s="119">
        <v>35012</v>
      </c>
      <c r="F53" s="119">
        <v>4259</v>
      </c>
      <c r="G53" s="11">
        <f t="shared" si="1"/>
        <v>8.2207090866400563</v>
      </c>
    </row>
    <row r="54" spans="1:7">
      <c r="A54" s="102" t="s">
        <v>172</v>
      </c>
      <c r="B54" s="119">
        <v>28064</v>
      </c>
      <c r="C54" s="119">
        <v>5142</v>
      </c>
      <c r="D54" s="11">
        <f t="shared" si="0"/>
        <v>5.4577985219758851</v>
      </c>
      <c r="E54" s="119">
        <v>27758</v>
      </c>
      <c r="F54" s="119">
        <v>5153.5</v>
      </c>
      <c r="G54" s="11">
        <f t="shared" si="1"/>
        <v>5.3862423595614635</v>
      </c>
    </row>
    <row r="55" spans="1:7" ht="26.25">
      <c r="A55" s="102" t="s">
        <v>173</v>
      </c>
      <c r="B55" s="119">
        <v>34203</v>
      </c>
      <c r="C55" s="119">
        <v>1300</v>
      </c>
      <c r="D55" s="115">
        <f t="shared" si="0"/>
        <v>26.31</v>
      </c>
      <c r="E55" s="119">
        <v>35779</v>
      </c>
      <c r="F55" s="119">
        <v>1504.5</v>
      </c>
      <c r="G55" s="11">
        <f t="shared" si="1"/>
        <v>23.781322698570953</v>
      </c>
    </row>
    <row r="56" spans="1:7">
      <c r="A56" s="102" t="s">
        <v>174</v>
      </c>
      <c r="B56" s="119">
        <v>19304</v>
      </c>
      <c r="C56" s="119">
        <v>5062</v>
      </c>
      <c r="D56" s="11">
        <f t="shared" si="0"/>
        <v>3.8135124456736467</v>
      </c>
      <c r="E56" s="119">
        <v>18550</v>
      </c>
      <c r="F56" s="119">
        <v>5279.5</v>
      </c>
      <c r="G56" s="11">
        <f t="shared" si="1"/>
        <v>3.5135903021119423</v>
      </c>
    </row>
    <row r="57" spans="1:7">
      <c r="A57" s="102" t="s">
        <v>175</v>
      </c>
      <c r="B57" s="119">
        <v>33580</v>
      </c>
      <c r="C57" s="119">
        <v>6470.5</v>
      </c>
      <c r="D57" s="11">
        <f t="shared" si="0"/>
        <v>5.1897071323699873</v>
      </c>
      <c r="E57" s="119">
        <v>33952</v>
      </c>
      <c r="F57" s="119">
        <v>6576.5</v>
      </c>
      <c r="G57" s="11">
        <f t="shared" si="1"/>
        <v>5.1626244963126284</v>
      </c>
    </row>
    <row r="58" spans="1:7">
      <c r="A58" s="102" t="s">
        <v>176</v>
      </c>
      <c r="B58" s="119">
        <v>14845</v>
      </c>
      <c r="C58" s="119">
        <v>3006.5</v>
      </c>
      <c r="D58" s="11">
        <f t="shared" si="0"/>
        <v>4.9376351238982208</v>
      </c>
      <c r="E58" s="119">
        <v>14339</v>
      </c>
      <c r="F58" s="119">
        <v>2979</v>
      </c>
      <c r="G58" s="11">
        <f t="shared" si="1"/>
        <v>4.8133601879825445</v>
      </c>
    </row>
    <row r="59" spans="1:7">
      <c r="A59" s="102" t="s">
        <v>177</v>
      </c>
      <c r="B59" s="119">
        <v>14765</v>
      </c>
      <c r="C59" s="119">
        <v>6295</v>
      </c>
      <c r="D59" s="11">
        <f t="shared" si="0"/>
        <v>2.3455123113582208</v>
      </c>
      <c r="E59" s="119">
        <v>15815</v>
      </c>
      <c r="F59" s="119">
        <v>5876</v>
      </c>
      <c r="G59" s="11">
        <f t="shared" si="1"/>
        <v>2.6914567733151804</v>
      </c>
    </row>
    <row r="60" spans="1:7">
      <c r="A60" s="102" t="s">
        <v>178</v>
      </c>
      <c r="B60" s="119">
        <v>7654</v>
      </c>
      <c r="C60" s="119">
        <v>885</v>
      </c>
      <c r="D60" s="57">
        <f t="shared" si="0"/>
        <v>8.6485875706214692</v>
      </c>
      <c r="E60" s="119">
        <v>9903</v>
      </c>
      <c r="F60" s="119">
        <v>1210.5</v>
      </c>
      <c r="G60" s="11">
        <f t="shared" si="1"/>
        <v>8.1809169764560092</v>
      </c>
    </row>
    <row r="61" spans="1:7">
      <c r="A61" s="102" t="s">
        <v>179</v>
      </c>
      <c r="B61" s="119">
        <v>10453</v>
      </c>
      <c r="C61" s="119">
        <v>1338.5</v>
      </c>
      <c r="D61" s="11">
        <f t="shared" si="0"/>
        <v>7.8094882330967499</v>
      </c>
      <c r="E61" s="119">
        <v>11288</v>
      </c>
      <c r="F61" s="119">
        <v>1466</v>
      </c>
      <c r="G61" s="11">
        <f t="shared" si="1"/>
        <v>7.6998635743519781</v>
      </c>
    </row>
    <row r="62" spans="1:7">
      <c r="A62" s="102" t="s">
        <v>92</v>
      </c>
      <c r="B62" s="119">
        <v>6377</v>
      </c>
      <c r="C62" s="119">
        <v>641</v>
      </c>
      <c r="D62" s="11">
        <f t="shared" si="0"/>
        <v>9.948517940717629</v>
      </c>
      <c r="E62" s="119">
        <v>2221</v>
      </c>
      <c r="F62" s="119">
        <v>274.5</v>
      </c>
      <c r="G62" s="11">
        <f t="shared" si="1"/>
        <v>8.0910746812386165</v>
      </c>
    </row>
    <row r="63" spans="1:7">
      <c r="B63">
        <f>SUM(B42:B62)</f>
        <v>1517956</v>
      </c>
      <c r="C63">
        <f>SUM(C42:C62)</f>
        <v>215696.5</v>
      </c>
    </row>
    <row r="65" spans="1:4">
      <c r="A65" s="164" t="s">
        <v>213</v>
      </c>
      <c r="B65" s="164"/>
      <c r="C65" s="164"/>
      <c r="D65" s="68">
        <v>6.8</v>
      </c>
    </row>
  </sheetData>
  <mergeCells count="3">
    <mergeCell ref="A32:A35"/>
    <mergeCell ref="A36:A39"/>
    <mergeCell ref="A65:C6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2507E-0ACA-445D-A344-C47E80305E45}">
  <dimension ref="A1:S20"/>
  <sheetViews>
    <sheetView workbookViewId="0">
      <selection activeCell="E33" sqref="E33"/>
    </sheetView>
  </sheetViews>
  <sheetFormatPr defaultRowHeight="15"/>
  <cols>
    <col min="1" max="1" width="21.7109375" customWidth="1"/>
  </cols>
  <sheetData>
    <row r="1" spans="1:19">
      <c r="A1" t="s">
        <v>10</v>
      </c>
    </row>
    <row r="5" spans="1:19" s="13" customFormat="1" ht="26.25" customHeight="1"/>
    <row r="6" spans="1:19" s="13" customFormat="1">
      <c r="B6" s="13">
        <v>2010</v>
      </c>
      <c r="C6" s="13">
        <v>2011</v>
      </c>
      <c r="D6" s="13">
        <v>2012</v>
      </c>
      <c r="E6" s="13">
        <v>2013</v>
      </c>
      <c r="F6" s="13">
        <v>2014</v>
      </c>
      <c r="G6" s="13">
        <v>2015</v>
      </c>
      <c r="H6" s="13">
        <v>2016</v>
      </c>
      <c r="I6" s="13">
        <v>2017</v>
      </c>
      <c r="J6" s="13">
        <v>2018</v>
      </c>
      <c r="K6" s="13">
        <v>2019</v>
      </c>
      <c r="L6" s="13">
        <v>2020</v>
      </c>
      <c r="M6" s="13">
        <v>2021</v>
      </c>
      <c r="N6" s="13">
        <v>2022</v>
      </c>
      <c r="O6" s="13">
        <v>2023</v>
      </c>
      <c r="P6" s="13">
        <v>2024</v>
      </c>
      <c r="Q6" s="19" t="s">
        <v>112</v>
      </c>
      <c r="R6" s="20" t="s">
        <v>113</v>
      </c>
      <c r="S6" s="21" t="s">
        <v>114</v>
      </c>
    </row>
    <row r="7" spans="1:19" s="13" customFormat="1" hidden="1">
      <c r="A7" s="17" t="s">
        <v>16</v>
      </c>
      <c r="B7" s="17">
        <v>10</v>
      </c>
      <c r="C7" s="17">
        <v>9.9</v>
      </c>
      <c r="D7" s="17">
        <v>9.1999999999999993</v>
      </c>
      <c r="E7" s="43">
        <v>9.5</v>
      </c>
      <c r="F7" s="43">
        <v>9.4</v>
      </c>
      <c r="G7" s="43">
        <v>8.9</v>
      </c>
      <c r="H7" s="43">
        <v>8.6999999999999993</v>
      </c>
      <c r="I7" s="43">
        <v>8.6</v>
      </c>
      <c r="J7" s="43">
        <f>1330996/159491</f>
        <v>8.3452734010069527</v>
      </c>
      <c r="K7" s="43">
        <v>8.1999999999999993</v>
      </c>
      <c r="L7" s="43">
        <v>7.4</v>
      </c>
      <c r="M7" s="43">
        <v>7.6</v>
      </c>
      <c r="N7" s="43">
        <v>7.4</v>
      </c>
      <c r="O7" s="43">
        <v>7.4</v>
      </c>
      <c r="P7" s="43">
        <v>7</v>
      </c>
      <c r="Q7" s="57">
        <f>AVERAGE(G7:P7)</f>
        <v>7.9545273401006966</v>
      </c>
      <c r="R7" s="27">
        <f>+P7-Q7</f>
        <v>-0.95452734010069662</v>
      </c>
      <c r="S7" s="58">
        <f>+P7-O7</f>
        <v>-0.40000000000000036</v>
      </c>
    </row>
    <row r="8" spans="1:19" s="13" customFormat="1" ht="26.25">
      <c r="A8" s="17" t="s">
        <v>17</v>
      </c>
      <c r="B8" s="17">
        <v>23.5</v>
      </c>
      <c r="C8" s="17">
        <v>21.2</v>
      </c>
      <c r="D8" s="17">
        <v>22.3</v>
      </c>
      <c r="E8" s="51">
        <v>24.5</v>
      </c>
      <c r="F8" s="51">
        <v>27.9</v>
      </c>
      <c r="G8" s="51">
        <v>20.5</v>
      </c>
      <c r="H8" s="51">
        <v>20.3</v>
      </c>
      <c r="I8" s="51">
        <f>349*100/1924</f>
        <v>18.139293139293141</v>
      </c>
      <c r="J8" s="51">
        <f>323*100/1598</f>
        <v>20.212765957446809</v>
      </c>
      <c r="K8" s="51">
        <v>19.399999999999999</v>
      </c>
      <c r="L8" s="51">
        <v>19.899999999999999</v>
      </c>
      <c r="M8" s="51">
        <f>M14*100/M13</f>
        <v>17.512592018597442</v>
      </c>
      <c r="N8" s="51">
        <v>20.100000000000001</v>
      </c>
      <c r="O8" s="51">
        <v>18.100000000000001</v>
      </c>
      <c r="P8" s="51">
        <v>17</v>
      </c>
      <c r="Q8" s="57">
        <f>AVERAGE(G8:P8)</f>
        <v>19.116465111533739</v>
      </c>
      <c r="R8" s="27">
        <f>+P8-Q8</f>
        <v>-2.1164651115337385</v>
      </c>
      <c r="S8" s="58">
        <f>+P8-O8</f>
        <v>-1.1000000000000014</v>
      </c>
    </row>
    <row r="9" spans="1:19" s="13" customFormat="1" ht="12.75"/>
    <row r="10" spans="1:19" s="13" customFormat="1" ht="12.75"/>
    <row r="11" spans="1:19" s="13" customFormat="1" ht="12.75"/>
    <row r="12" spans="1:19" s="13" customFormat="1">
      <c r="B12" s="13" t="s">
        <v>117</v>
      </c>
      <c r="C12" s="13" t="s">
        <v>118</v>
      </c>
      <c r="D12" s="13" t="s">
        <v>119</v>
      </c>
      <c r="E12" s="13" t="s">
        <v>120</v>
      </c>
      <c r="F12" s="13" t="s">
        <v>121</v>
      </c>
      <c r="G12" s="13" t="s">
        <v>122</v>
      </c>
      <c r="H12" s="13" t="s">
        <v>123</v>
      </c>
      <c r="I12" s="13" t="s">
        <v>124</v>
      </c>
      <c r="J12" s="13" t="s">
        <v>125</v>
      </c>
      <c r="K12" s="13" t="s">
        <v>126</v>
      </c>
      <c r="L12" s="13" t="s">
        <v>127</v>
      </c>
      <c r="M12" s="13" t="s">
        <v>128</v>
      </c>
      <c r="N12" s="13" t="s">
        <v>129</v>
      </c>
      <c r="O12" s="13">
        <v>2023</v>
      </c>
      <c r="P12" s="13">
        <v>2024</v>
      </c>
      <c r="Q12" s="19" t="s">
        <v>112</v>
      </c>
    </row>
    <row r="13" spans="1:19" s="30" customFormat="1" ht="12.75">
      <c r="A13" s="30" t="s">
        <v>149</v>
      </c>
      <c r="M13" s="30">
        <v>2581</v>
      </c>
      <c r="N13" s="30">
        <v>2225</v>
      </c>
      <c r="O13" s="30">
        <v>2110</v>
      </c>
      <c r="P13" s="30">
        <v>1980</v>
      </c>
      <c r="R13" s="30" t="s">
        <v>239</v>
      </c>
    </row>
    <row r="14" spans="1:19" s="59" customFormat="1" ht="12.75">
      <c r="A14" s="59" t="s">
        <v>132</v>
      </c>
      <c r="M14" s="59">
        <v>452</v>
      </c>
      <c r="N14" s="59">
        <v>447</v>
      </c>
      <c r="O14" s="59">
        <v>381</v>
      </c>
      <c r="P14" s="59">
        <v>337</v>
      </c>
      <c r="R14" s="30" t="s">
        <v>240</v>
      </c>
    </row>
    <row r="15" spans="1:19" s="59" customFormat="1" ht="12.75">
      <c r="A15" s="59" t="s">
        <v>133</v>
      </c>
      <c r="M15" s="59">
        <v>243</v>
      </c>
      <c r="N15" s="59">
        <v>214</v>
      </c>
      <c r="O15" s="59">
        <v>190</v>
      </c>
      <c r="P15" s="59">
        <v>167</v>
      </c>
      <c r="R15" s="30" t="s">
        <v>241</v>
      </c>
    </row>
    <row r="16" spans="1:19" s="59" customFormat="1" ht="12.75">
      <c r="A16" s="59" t="s">
        <v>134</v>
      </c>
      <c r="M16" s="60">
        <f>M15*100/M14</f>
        <v>53.761061946902657</v>
      </c>
      <c r="N16" s="60">
        <f>+N15*100/N14</f>
        <v>47.874720357941833</v>
      </c>
      <c r="O16" s="60">
        <f>+O15*100/O14</f>
        <v>49.868766404199476</v>
      </c>
      <c r="P16" s="60">
        <f>P15*100/P14</f>
        <v>49.554896142433236</v>
      </c>
    </row>
    <row r="17" spans="13:16" s="13" customFormat="1" ht="12.75">
      <c r="M17" s="28">
        <f>+M14*100/M13</f>
        <v>17.512592018597442</v>
      </c>
      <c r="N17" s="28">
        <f>+N14*100/N13</f>
        <v>20.089887640449437</v>
      </c>
      <c r="O17" s="28">
        <f>+O14*100/O13</f>
        <v>18.05687203791469</v>
      </c>
      <c r="P17" s="28">
        <f>P14/P13*100</f>
        <v>17.020202020202021</v>
      </c>
    </row>
    <row r="18" spans="13:16" s="13" customFormat="1" ht="12.75">
      <c r="N18" s="28">
        <f>+N17-M17</f>
        <v>2.5772956218519951</v>
      </c>
      <c r="O18" s="28">
        <f>+N17-O17</f>
        <v>2.0330156025347463</v>
      </c>
      <c r="P18" s="28">
        <f>P17-O17</f>
        <v>-1.0366700177126695</v>
      </c>
    </row>
    <row r="20" spans="13:16">
      <c r="O20" s="11"/>
      <c r="P20" s="1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AA8CF-E713-4D58-AE6A-04C2A9BA035D}">
  <sheetPr>
    <tabColor rgb="FF187AF0"/>
  </sheetPr>
  <dimension ref="A1:S33"/>
  <sheetViews>
    <sheetView workbookViewId="0">
      <selection activeCell="L6" sqref="L6"/>
    </sheetView>
  </sheetViews>
  <sheetFormatPr defaultRowHeight="15"/>
  <cols>
    <col min="1" max="1" width="28" customWidth="1"/>
  </cols>
  <sheetData>
    <row r="1" spans="1:19">
      <c r="A1" t="s">
        <v>11</v>
      </c>
    </row>
    <row r="10" spans="1:19">
      <c r="R10" s="11"/>
    </row>
    <row r="15" spans="1:19" s="13" customFormat="1" ht="15.75" customHeight="1"/>
    <row r="16" spans="1:19" s="13" customFormat="1">
      <c r="B16" s="13">
        <v>2010</v>
      </c>
      <c r="C16" s="13">
        <v>2011</v>
      </c>
      <c r="D16" s="13">
        <v>2012</v>
      </c>
      <c r="E16" s="13">
        <v>2013</v>
      </c>
      <c r="F16" s="13">
        <v>2014</v>
      </c>
      <c r="G16" s="13">
        <v>2015</v>
      </c>
      <c r="H16" s="13">
        <v>2016</v>
      </c>
      <c r="I16" s="13">
        <v>2017</v>
      </c>
      <c r="J16" s="13">
        <v>2018</v>
      </c>
      <c r="K16" s="13">
        <v>2019</v>
      </c>
      <c r="L16" s="13">
        <v>2020</v>
      </c>
      <c r="M16" s="13">
        <v>2021</v>
      </c>
      <c r="N16" s="13">
        <v>2022</v>
      </c>
      <c r="O16" s="13">
        <v>2023</v>
      </c>
      <c r="P16" s="13">
        <v>2024</v>
      </c>
      <c r="Q16" s="19" t="s">
        <v>112</v>
      </c>
      <c r="R16" s="20" t="s">
        <v>113</v>
      </c>
      <c r="S16" s="21" t="s">
        <v>114</v>
      </c>
    </row>
    <row r="17" spans="1:19" s="13" customFormat="1" ht="25.5">
      <c r="A17" s="17" t="s">
        <v>150</v>
      </c>
      <c r="B17" s="22">
        <v>1187.5999999999999</v>
      </c>
      <c r="C17" s="22">
        <v>1200.5999999999999</v>
      </c>
      <c r="D17" s="22">
        <v>1237.3</v>
      </c>
      <c r="E17" s="23">
        <v>1385</v>
      </c>
      <c r="F17" s="18">
        <v>1233.5</v>
      </c>
      <c r="G17" s="18">
        <v>1279.4000000000001</v>
      </c>
      <c r="H17" s="18">
        <v>1285.3</v>
      </c>
      <c r="I17" s="18">
        <v>1398.7</v>
      </c>
      <c r="J17" s="18">
        <v>1395.5</v>
      </c>
      <c r="K17" s="18">
        <v>1467.3</v>
      </c>
      <c r="L17" s="18">
        <v>1411.6</v>
      </c>
      <c r="M17" s="18">
        <v>1349.5</v>
      </c>
      <c r="N17" s="18">
        <v>1929.2</v>
      </c>
      <c r="O17" s="18">
        <v>2259.1999999999998</v>
      </c>
      <c r="P17" s="23">
        <v>2205.4569999999999</v>
      </c>
      <c r="Q17" s="24">
        <f>AVERAGE(G17:P17)</f>
        <v>1598.1157000000001</v>
      </c>
      <c r="R17" s="25">
        <f>+P17-Q17</f>
        <v>607.34129999999982</v>
      </c>
      <c r="S17" s="26">
        <f>+P17-O17</f>
        <v>-53.742999999999938</v>
      </c>
    </row>
    <row r="18" spans="1:19" s="13" customFormat="1">
      <c r="N18" s="28"/>
      <c r="O18" s="28"/>
      <c r="P18" s="28"/>
      <c r="Q18" s="19"/>
      <c r="R18" s="20"/>
      <c r="S18" s="21"/>
    </row>
    <row r="31" spans="1:19" ht="51">
      <c r="D31" s="124" t="s">
        <v>214</v>
      </c>
      <c r="E31" s="125" t="s">
        <v>215</v>
      </c>
      <c r="F31" s="125" t="s">
        <v>216</v>
      </c>
      <c r="G31" s="125" t="s">
        <v>217</v>
      </c>
      <c r="H31" s="125" t="s">
        <v>218</v>
      </c>
    </row>
    <row r="32" spans="1:19">
      <c r="B32" s="123">
        <v>2205457</v>
      </c>
      <c r="C32" s="123"/>
      <c r="D32" s="123">
        <v>74046</v>
      </c>
      <c r="E32" s="123">
        <v>82833</v>
      </c>
      <c r="F32" s="123">
        <v>49</v>
      </c>
      <c r="G32" s="123">
        <v>16</v>
      </c>
      <c r="H32" s="123">
        <v>2048513</v>
      </c>
    </row>
    <row r="33" spans="4:8">
      <c r="D33" s="11">
        <f>D32*100/$B$32</f>
        <v>3.3573993961342254</v>
      </c>
      <c r="E33" s="11">
        <f t="shared" ref="E33:H33" si="0">E32*100/$B$32</f>
        <v>3.7558202222940644</v>
      </c>
      <c r="F33" s="11">
        <f t="shared" si="0"/>
        <v>2.221761748245375E-3</v>
      </c>
      <c r="G33" s="11">
        <f t="shared" si="0"/>
        <v>7.2547322391685719E-4</v>
      </c>
      <c r="H33" s="11">
        <f t="shared" si="0"/>
        <v>92.883833146599542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AEF7B-14BC-40CF-80DC-3729E33EBB43}">
  <sheetPr>
    <tabColor rgb="FF187AF0"/>
  </sheetPr>
  <dimension ref="A1:P19"/>
  <sheetViews>
    <sheetView topLeftCell="B13" workbookViewId="0">
      <selection activeCell="J21" sqref="J21"/>
    </sheetView>
  </sheetViews>
  <sheetFormatPr defaultRowHeight="15"/>
  <cols>
    <col min="2" max="2" width="29.28515625" customWidth="1"/>
    <col min="3" max="3" width="17.7109375" customWidth="1"/>
    <col min="4" max="4" width="13.5703125" customWidth="1"/>
    <col min="5" max="5" width="11.140625" customWidth="1"/>
    <col min="6" max="6" width="10.28515625" customWidth="1"/>
    <col min="12" max="12" width="28.85546875" customWidth="1"/>
    <col min="13" max="14" width="12.85546875" customWidth="1"/>
    <col min="15" max="15" width="11" customWidth="1"/>
    <col min="16" max="16" width="11.140625" customWidth="1"/>
  </cols>
  <sheetData>
    <row r="1" spans="1:16">
      <c r="A1" t="s">
        <v>12</v>
      </c>
      <c r="L1" t="s">
        <v>220</v>
      </c>
    </row>
    <row r="2" spans="1:16" ht="15.75" thickBot="1"/>
    <row r="3" spans="1:16" ht="60.75" thickBot="1">
      <c r="B3" s="1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L3" s="1" t="s">
        <v>13</v>
      </c>
      <c r="M3" s="2" t="s">
        <v>14</v>
      </c>
      <c r="N3" s="2" t="s">
        <v>15</v>
      </c>
      <c r="O3" s="2" t="s">
        <v>16</v>
      </c>
      <c r="P3" s="2" t="s">
        <v>17</v>
      </c>
    </row>
    <row r="4" spans="1:16" ht="15.75" thickBot="1">
      <c r="B4" s="3" t="s">
        <v>18</v>
      </c>
      <c r="C4" s="4" t="s">
        <v>19</v>
      </c>
      <c r="D4" s="4">
        <v>24437</v>
      </c>
      <c r="E4" s="4">
        <v>5.8</v>
      </c>
      <c r="F4" s="4">
        <v>13.8</v>
      </c>
      <c r="L4" s="3" t="s">
        <v>18</v>
      </c>
      <c r="M4" s="126">
        <v>323511</v>
      </c>
      <c r="N4" s="126">
        <v>24068.5</v>
      </c>
      <c r="O4" s="126">
        <v>5.7</v>
      </c>
      <c r="P4" s="126">
        <v>12.8</v>
      </c>
    </row>
    <row r="5" spans="1:16" ht="15.75" thickBot="1">
      <c r="B5" s="3" t="s">
        <v>20</v>
      </c>
      <c r="C5" s="4" t="s">
        <v>21</v>
      </c>
      <c r="D5" s="4">
        <v>14327</v>
      </c>
      <c r="E5" s="4">
        <v>6.4</v>
      </c>
      <c r="F5" s="4">
        <v>26.2</v>
      </c>
      <c r="L5" s="3" t="s">
        <v>20</v>
      </c>
      <c r="M5" s="126">
        <v>190295</v>
      </c>
      <c r="N5" s="126">
        <v>14808</v>
      </c>
      <c r="O5" s="126">
        <v>6.3</v>
      </c>
      <c r="P5" s="126">
        <v>24.1</v>
      </c>
    </row>
    <row r="6" spans="1:16" ht="15.75" thickBot="1">
      <c r="B6" s="3" t="s">
        <v>22</v>
      </c>
      <c r="C6" s="4" t="s">
        <v>23</v>
      </c>
      <c r="D6" s="4">
        <v>24591</v>
      </c>
      <c r="E6" s="4">
        <v>6.6</v>
      </c>
      <c r="F6" s="4">
        <v>18.100000000000001</v>
      </c>
      <c r="L6" s="3" t="s">
        <v>22</v>
      </c>
      <c r="M6" s="126">
        <v>243363</v>
      </c>
      <c r="N6" s="126">
        <v>23098</v>
      </c>
      <c r="O6" s="126">
        <v>6.5</v>
      </c>
      <c r="P6" s="126">
        <v>15.6</v>
      </c>
    </row>
    <row r="7" spans="1:16" ht="24.75" thickBot="1">
      <c r="B7" s="3" t="s">
        <v>24</v>
      </c>
      <c r="C7" s="4" t="s">
        <v>25</v>
      </c>
      <c r="D7" s="4">
        <v>33197.5</v>
      </c>
      <c r="E7" s="4">
        <v>6.5</v>
      </c>
      <c r="F7" s="4">
        <v>15.8</v>
      </c>
      <c r="L7" s="3" t="s">
        <v>24</v>
      </c>
      <c r="M7" s="126">
        <v>315538</v>
      </c>
      <c r="N7" s="126">
        <v>34174.5</v>
      </c>
      <c r="O7" s="126">
        <v>6.5</v>
      </c>
      <c r="P7" s="126">
        <v>3.3</v>
      </c>
    </row>
    <row r="8" spans="1:16" ht="15.75" thickBot="1">
      <c r="B8" s="3" t="s">
        <v>26</v>
      </c>
      <c r="C8" s="4" t="s">
        <v>27</v>
      </c>
      <c r="D8" s="4">
        <v>11923</v>
      </c>
      <c r="E8" s="4">
        <v>5.6</v>
      </c>
      <c r="F8" s="4">
        <v>21.1</v>
      </c>
      <c r="L8" s="3" t="s">
        <v>26</v>
      </c>
      <c r="M8" s="126">
        <v>149881</v>
      </c>
      <c r="N8" s="126">
        <v>11364</v>
      </c>
      <c r="O8" s="126">
        <v>5.8</v>
      </c>
      <c r="P8" s="126">
        <v>20</v>
      </c>
    </row>
    <row r="9" spans="1:16" ht="24.75" thickBot="1">
      <c r="B9" s="3" t="s">
        <v>28</v>
      </c>
      <c r="C9" s="4" t="s">
        <v>29</v>
      </c>
      <c r="D9" s="4">
        <v>14459.5</v>
      </c>
      <c r="E9" s="4">
        <v>9</v>
      </c>
      <c r="F9" s="4">
        <v>11.1</v>
      </c>
      <c r="L9" s="3" t="s">
        <v>28</v>
      </c>
      <c r="M9" s="126">
        <v>106446</v>
      </c>
      <c r="N9" s="126">
        <v>13624</v>
      </c>
      <c r="O9" s="126">
        <v>9.4</v>
      </c>
      <c r="P9" s="126">
        <v>5.3</v>
      </c>
    </row>
    <row r="10" spans="1:16" ht="24.75" thickBot="1">
      <c r="B10" s="3" t="s">
        <v>30</v>
      </c>
      <c r="C10" s="4" t="s">
        <v>31</v>
      </c>
      <c r="D10" s="4">
        <v>20307</v>
      </c>
      <c r="E10" s="4">
        <v>7.8</v>
      </c>
      <c r="F10" s="4">
        <v>22.3</v>
      </c>
      <c r="L10" s="3" t="s">
        <v>30</v>
      </c>
      <c r="M10" s="126">
        <v>281795</v>
      </c>
      <c r="N10" s="126">
        <v>22825</v>
      </c>
      <c r="O10" s="126">
        <v>7.9</v>
      </c>
      <c r="P10" s="126">
        <v>24.2</v>
      </c>
    </row>
    <row r="11" spans="1:16" ht="24.75" thickBot="1">
      <c r="B11" s="3" t="s">
        <v>32</v>
      </c>
      <c r="C11" s="4" t="s">
        <v>33</v>
      </c>
      <c r="D11" s="4">
        <v>4600.5</v>
      </c>
      <c r="E11" s="4">
        <v>7.9</v>
      </c>
      <c r="F11" s="4">
        <v>0</v>
      </c>
      <c r="L11" s="3" t="s">
        <v>32</v>
      </c>
      <c r="M11" s="126">
        <v>92443</v>
      </c>
      <c r="N11" s="126">
        <v>4846</v>
      </c>
      <c r="O11" s="126">
        <v>7.7</v>
      </c>
      <c r="P11" s="126">
        <v>0</v>
      </c>
    </row>
    <row r="12" spans="1:16" ht="24.75" thickBot="1">
      <c r="B12" s="3" t="s">
        <v>34</v>
      </c>
      <c r="C12" s="4" t="s">
        <v>35</v>
      </c>
      <c r="D12" s="4">
        <v>9895</v>
      </c>
      <c r="E12" s="4">
        <v>20.399999999999999</v>
      </c>
      <c r="F12" s="4">
        <v>16.7</v>
      </c>
      <c r="L12" s="3" t="s">
        <v>34</v>
      </c>
      <c r="M12" s="126">
        <v>78824</v>
      </c>
      <c r="N12" s="126">
        <v>10949</v>
      </c>
      <c r="O12" s="126">
        <v>19.2</v>
      </c>
      <c r="P12" s="126">
        <v>0</v>
      </c>
    </row>
    <row r="13" spans="1:16" ht="15.75" thickBot="1">
      <c r="B13" s="3" t="s">
        <v>36</v>
      </c>
      <c r="C13" s="4" t="s">
        <v>37</v>
      </c>
      <c r="D13" s="4">
        <v>2368</v>
      </c>
      <c r="E13" s="4">
        <v>8.8000000000000007</v>
      </c>
      <c r="F13" s="4">
        <v>0</v>
      </c>
      <c r="L13" s="3" t="s">
        <v>36</v>
      </c>
      <c r="M13" s="126">
        <v>851</v>
      </c>
      <c r="N13" s="126">
        <v>2540</v>
      </c>
      <c r="O13" s="126">
        <v>8</v>
      </c>
      <c r="P13" s="126">
        <v>0</v>
      </c>
    </row>
    <row r="14" spans="1:16" ht="24.75" thickBot="1">
      <c r="B14" s="3" t="s">
        <v>38</v>
      </c>
      <c r="C14" s="4" t="s">
        <v>39</v>
      </c>
      <c r="D14" s="4">
        <v>6205.5</v>
      </c>
      <c r="E14" s="4">
        <v>7</v>
      </c>
      <c r="F14" s="4">
        <v>0</v>
      </c>
      <c r="L14" s="3" t="s">
        <v>38</v>
      </c>
      <c r="M14" s="126">
        <v>13319</v>
      </c>
      <c r="N14" s="126">
        <v>6339</v>
      </c>
      <c r="O14" s="126">
        <v>7</v>
      </c>
      <c r="P14" s="126">
        <v>0</v>
      </c>
    </row>
    <row r="15" spans="1:16" ht="24.75" thickBot="1">
      <c r="B15" s="3" t="s">
        <v>40</v>
      </c>
      <c r="C15" s="4" t="s">
        <v>41</v>
      </c>
      <c r="D15" s="4">
        <v>5429.5</v>
      </c>
      <c r="E15" s="4">
        <v>5.0999999999999996</v>
      </c>
      <c r="F15" s="4">
        <v>12</v>
      </c>
      <c r="L15" s="3" t="s">
        <v>40</v>
      </c>
      <c r="M15" s="126">
        <v>171136</v>
      </c>
      <c r="N15" s="126">
        <v>5631.5</v>
      </c>
      <c r="O15" s="126">
        <v>4.9000000000000004</v>
      </c>
      <c r="P15" s="126">
        <v>13.3</v>
      </c>
    </row>
    <row r="16" spans="1:16" ht="24.75" thickBot="1">
      <c r="B16" s="3" t="s">
        <v>42</v>
      </c>
      <c r="C16" s="4" t="s">
        <v>43</v>
      </c>
      <c r="D16" s="4">
        <v>0</v>
      </c>
      <c r="E16" s="4">
        <v>0</v>
      </c>
      <c r="F16" s="4">
        <v>0</v>
      </c>
      <c r="L16" s="3" t="s">
        <v>42</v>
      </c>
      <c r="M16" s="126">
        <v>17814</v>
      </c>
      <c r="N16" s="126">
        <v>0</v>
      </c>
      <c r="O16" s="126">
        <v>0</v>
      </c>
      <c r="P16" s="126">
        <v>0</v>
      </c>
    </row>
    <row r="17" spans="2:16" ht="15.75" thickBot="1">
      <c r="B17" s="3" t="s">
        <v>44</v>
      </c>
      <c r="C17" s="4" t="s">
        <v>45</v>
      </c>
      <c r="D17" s="4">
        <v>0</v>
      </c>
      <c r="E17" s="4">
        <v>0</v>
      </c>
      <c r="F17" s="4">
        <v>0</v>
      </c>
      <c r="L17" s="3" t="s">
        <v>44</v>
      </c>
      <c r="M17" s="126">
        <v>26747</v>
      </c>
      <c r="N17" s="126">
        <v>0</v>
      </c>
      <c r="O17" s="126">
        <v>0</v>
      </c>
      <c r="P17" s="126">
        <v>0</v>
      </c>
    </row>
    <row r="18" spans="2:16" ht="24.75" thickBot="1">
      <c r="B18" s="3" t="s">
        <v>46</v>
      </c>
      <c r="C18" s="4" t="s">
        <v>47</v>
      </c>
      <c r="D18" s="4">
        <v>30071</v>
      </c>
      <c r="E18" s="4">
        <v>6.7</v>
      </c>
      <c r="F18" s="4">
        <v>33.299999999999997</v>
      </c>
      <c r="L18" s="3" t="s">
        <v>46</v>
      </c>
      <c r="M18" s="126">
        <v>167332</v>
      </c>
      <c r="N18" s="126">
        <v>30974</v>
      </c>
      <c r="O18" s="126">
        <v>6.5</v>
      </c>
      <c r="P18" s="126">
        <v>8.3000000000000007</v>
      </c>
    </row>
    <row r="19" spans="2:16" ht="15.75" thickBot="1">
      <c r="L19" s="127" t="s">
        <v>219</v>
      </c>
      <c r="M19" s="126">
        <v>35741</v>
      </c>
      <c r="N19" s="126">
        <v>1599</v>
      </c>
      <c r="O19" s="126">
        <v>6.2</v>
      </c>
      <c r="P19" s="126">
        <v>0</v>
      </c>
    </row>
  </sheetData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17403-3576-4783-BE8D-37025D5303D5}">
  <sheetPr>
    <tabColor rgb="FF187AF0"/>
  </sheetPr>
  <dimension ref="A1:V37"/>
  <sheetViews>
    <sheetView topLeftCell="A19" workbookViewId="0">
      <selection activeCell="I25" sqref="I25"/>
    </sheetView>
  </sheetViews>
  <sheetFormatPr defaultRowHeight="15"/>
  <sheetData>
    <row r="1" spans="1:21">
      <c r="A1" t="s">
        <v>48</v>
      </c>
    </row>
    <row r="5" spans="1:21" s="13" customFormat="1" ht="12.75"/>
    <row r="6" spans="1:21" s="13" customFormat="1">
      <c r="C6" s="13">
        <v>2010</v>
      </c>
      <c r="D6" s="13">
        <v>2011</v>
      </c>
      <c r="E6" s="13">
        <v>2012</v>
      </c>
      <c r="F6" s="13">
        <v>2013</v>
      </c>
      <c r="G6" s="13">
        <v>2014</v>
      </c>
      <c r="H6" s="13">
        <v>2015</v>
      </c>
      <c r="I6" s="13">
        <v>2016</v>
      </c>
      <c r="J6" s="13">
        <v>2017</v>
      </c>
      <c r="K6" s="13">
        <v>2018</v>
      </c>
      <c r="L6" s="13">
        <v>2019</v>
      </c>
      <c r="M6" s="13">
        <v>2020</v>
      </c>
      <c r="N6" s="13">
        <v>2021</v>
      </c>
      <c r="O6" s="13">
        <v>2022</v>
      </c>
      <c r="P6" s="13">
        <v>2023</v>
      </c>
      <c r="Q6" s="13">
        <v>2024</v>
      </c>
      <c r="R6" s="19" t="s">
        <v>112</v>
      </c>
      <c r="S6" s="20" t="s">
        <v>113</v>
      </c>
      <c r="T6" s="21" t="s">
        <v>114</v>
      </c>
    </row>
    <row r="7" spans="1:21" s="13" customFormat="1" ht="38.25">
      <c r="B7" s="61" t="s">
        <v>151</v>
      </c>
      <c r="C7" s="13">
        <v>166</v>
      </c>
      <c r="D7" s="13">
        <v>171</v>
      </c>
      <c r="E7" s="13">
        <v>179</v>
      </c>
      <c r="F7" s="13">
        <v>197</v>
      </c>
      <c r="G7" s="13">
        <v>202</v>
      </c>
      <c r="H7" s="13">
        <v>224</v>
      </c>
      <c r="I7" s="13">
        <v>234</v>
      </c>
      <c r="J7" s="13">
        <v>240</v>
      </c>
      <c r="K7" s="13">
        <v>243</v>
      </c>
      <c r="L7" s="13">
        <v>237</v>
      </c>
      <c r="M7" s="13">
        <v>241</v>
      </c>
      <c r="N7" s="13">
        <v>239</v>
      </c>
      <c r="O7" s="13">
        <v>215</v>
      </c>
      <c r="P7" s="13">
        <v>216</v>
      </c>
      <c r="Q7" s="128">
        <v>229</v>
      </c>
      <c r="R7" s="28">
        <f>AVERAGE(H7:Q7)</f>
        <v>231.8</v>
      </c>
      <c r="S7" s="28">
        <f>+Q7-R7</f>
        <v>-2.8000000000000114</v>
      </c>
      <c r="T7" s="28">
        <f>+Q7-P7</f>
        <v>13</v>
      </c>
      <c r="U7" s="13">
        <f>SUM(F7:O7)/10</f>
        <v>227.2</v>
      </c>
    </row>
    <row r="8" spans="1:21" s="13" customFormat="1" ht="25.5">
      <c r="B8" s="61" t="s">
        <v>152</v>
      </c>
      <c r="C8" s="13">
        <v>947</v>
      </c>
      <c r="D8" s="13">
        <v>1013</v>
      </c>
      <c r="E8" s="13">
        <v>851</v>
      </c>
      <c r="F8" s="13">
        <v>822</v>
      </c>
      <c r="G8" s="13">
        <v>969</v>
      </c>
      <c r="H8" s="13">
        <v>1006</v>
      </c>
      <c r="I8" s="13">
        <v>1076</v>
      </c>
      <c r="J8" s="13">
        <v>1226</v>
      </c>
      <c r="K8" s="13">
        <v>1340</v>
      </c>
      <c r="L8" s="13">
        <v>1444</v>
      </c>
      <c r="M8" s="13">
        <v>1491</v>
      </c>
      <c r="N8" s="13">
        <v>1548</v>
      </c>
      <c r="O8" s="13">
        <v>1458</v>
      </c>
      <c r="P8" s="13">
        <v>1466</v>
      </c>
      <c r="Q8" s="128">
        <v>1588</v>
      </c>
      <c r="R8" s="28">
        <f>AVERAGE(H8:Q8)</f>
        <v>1364.3</v>
      </c>
      <c r="S8" s="28">
        <f>+Q8-R8</f>
        <v>223.70000000000005</v>
      </c>
      <c r="T8" s="28">
        <f>+Q8-P8</f>
        <v>122</v>
      </c>
    </row>
    <row r="9" spans="1:21" s="13" customFormat="1" ht="12.75"/>
    <row r="26" spans="1:22" ht="45" customHeight="1">
      <c r="C26" s="169" t="s">
        <v>255</v>
      </c>
      <c r="D26" s="168" t="s">
        <v>56</v>
      </c>
      <c r="E26" s="167" t="s">
        <v>229</v>
      </c>
      <c r="F26" s="151" t="s">
        <v>56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>
      <c r="C27" s="169"/>
      <c r="D27" s="168"/>
      <c r="E27" s="167"/>
      <c r="F27" s="151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>
      <c r="C28" s="169"/>
      <c r="D28" s="168"/>
      <c r="E28" s="167"/>
      <c r="F28" s="151"/>
    </row>
    <row r="29" spans="1:22">
      <c r="A29" s="165" t="s">
        <v>221</v>
      </c>
      <c r="B29" s="166"/>
      <c r="C29" s="119">
        <v>1588</v>
      </c>
      <c r="D29" s="11">
        <f>C29*100/$C$37</f>
        <v>38.072404699112923</v>
      </c>
      <c r="E29">
        <v>9679</v>
      </c>
      <c r="F29" s="11">
        <f>E29*100/$E$37</f>
        <v>32.906099136465627</v>
      </c>
    </row>
    <row r="30" spans="1:22" ht="27" customHeight="1">
      <c r="A30" s="165" t="s">
        <v>222</v>
      </c>
      <c r="B30" s="166"/>
      <c r="C30" s="119">
        <v>229</v>
      </c>
      <c r="D30" s="11">
        <f t="shared" ref="D30:D36" si="0">C30*100/$C$37</f>
        <v>5.4902900982977707</v>
      </c>
      <c r="E30">
        <v>7875</v>
      </c>
      <c r="F30" s="11">
        <f t="shared" ref="F30:F36" si="1">E30*100/$E$37</f>
        <v>26.772965254640646</v>
      </c>
    </row>
    <row r="31" spans="1:22">
      <c r="A31" s="165" t="s">
        <v>223</v>
      </c>
      <c r="B31" s="166"/>
      <c r="C31" s="119">
        <v>91</v>
      </c>
      <c r="D31" s="11">
        <f t="shared" si="0"/>
        <v>2.1817309997602492</v>
      </c>
      <c r="E31">
        <v>2197</v>
      </c>
      <c r="F31" s="11">
        <f t="shared" si="1"/>
        <v>7.4692323383422856</v>
      </c>
    </row>
    <row r="32" spans="1:22" ht="29.25" customHeight="1">
      <c r="A32" s="165" t="s">
        <v>224</v>
      </c>
      <c r="B32" s="166"/>
      <c r="C32" s="119">
        <v>4</v>
      </c>
      <c r="D32" s="11">
        <f t="shared" si="0"/>
        <v>9.5900263725725243E-2</v>
      </c>
      <c r="E32">
        <v>308</v>
      </c>
      <c r="F32" s="11">
        <f t="shared" si="1"/>
        <v>1.0471204188481675</v>
      </c>
    </row>
    <row r="33" spans="1:6">
      <c r="A33" s="165" t="s">
        <v>225</v>
      </c>
      <c r="B33" s="166"/>
      <c r="C33" s="119">
        <v>0</v>
      </c>
      <c r="D33" s="11">
        <f t="shared" si="0"/>
        <v>0</v>
      </c>
      <c r="E33">
        <v>0</v>
      </c>
      <c r="F33" s="11">
        <f t="shared" si="1"/>
        <v>0</v>
      </c>
    </row>
    <row r="34" spans="1:6" ht="25.5" customHeight="1">
      <c r="A34" s="165" t="s">
        <v>226</v>
      </c>
      <c r="B34" s="166"/>
      <c r="C34" s="119">
        <v>142</v>
      </c>
      <c r="D34" s="11">
        <f t="shared" si="0"/>
        <v>3.4044593622632462</v>
      </c>
      <c r="E34">
        <v>1458</v>
      </c>
      <c r="F34" s="11">
        <f t="shared" si="1"/>
        <v>4.9568232814306112</v>
      </c>
    </row>
    <row r="35" spans="1:6">
      <c r="A35" s="165" t="s">
        <v>227</v>
      </c>
      <c r="B35" s="166"/>
      <c r="C35" s="119">
        <v>0</v>
      </c>
      <c r="D35" s="11">
        <f t="shared" si="0"/>
        <v>0</v>
      </c>
      <c r="E35">
        <v>0</v>
      </c>
      <c r="F35" s="11">
        <f t="shared" si="1"/>
        <v>0</v>
      </c>
    </row>
    <row r="36" spans="1:6">
      <c r="A36" s="165" t="s">
        <v>228</v>
      </c>
      <c r="B36" s="166"/>
      <c r="C36" s="119">
        <v>2117</v>
      </c>
      <c r="D36" s="11">
        <f t="shared" si="0"/>
        <v>50.755214576840089</v>
      </c>
      <c r="E36">
        <v>7897</v>
      </c>
      <c r="F36" s="11">
        <f t="shared" si="1"/>
        <v>26.847759570272661</v>
      </c>
    </row>
    <row r="37" spans="1:6">
      <c r="C37">
        <f>SUM(C29:C36)</f>
        <v>4171</v>
      </c>
      <c r="E37">
        <f>SUM(E29:E36)</f>
        <v>29414</v>
      </c>
    </row>
  </sheetData>
  <mergeCells count="12">
    <mergeCell ref="F26:F28"/>
    <mergeCell ref="A34:B34"/>
    <mergeCell ref="A35:B35"/>
    <mergeCell ref="A36:B36"/>
    <mergeCell ref="E26:E28"/>
    <mergeCell ref="D26:D28"/>
    <mergeCell ref="C26:C28"/>
    <mergeCell ref="A29:B29"/>
    <mergeCell ref="A30:B30"/>
    <mergeCell ref="A31:B31"/>
    <mergeCell ref="A32:B32"/>
    <mergeCell ref="A33:B3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7821B-E649-430D-8786-18019E96DB00}">
  <sheetPr>
    <tabColor rgb="FF187AF0"/>
  </sheetPr>
  <dimension ref="A1:S8"/>
  <sheetViews>
    <sheetView workbookViewId="0">
      <selection activeCell="J29" sqref="J29"/>
    </sheetView>
  </sheetViews>
  <sheetFormatPr defaultRowHeight="15"/>
  <cols>
    <col min="1" max="1" width="26.140625" customWidth="1"/>
  </cols>
  <sheetData>
    <row r="1" spans="1:19">
      <c r="A1" t="s">
        <v>49</v>
      </c>
    </row>
    <row r="5" spans="1:19" s="13" customFormat="1" ht="12.75"/>
    <row r="6" spans="1:19" s="13" customFormat="1">
      <c r="B6" s="13">
        <v>2010</v>
      </c>
      <c r="C6" s="13">
        <v>2011</v>
      </c>
      <c r="D6" s="13">
        <v>2012</v>
      </c>
      <c r="E6" s="13">
        <v>2013</v>
      </c>
      <c r="F6" s="13">
        <v>2014</v>
      </c>
      <c r="G6" s="13">
        <v>2015</v>
      </c>
      <c r="H6" s="13">
        <v>2016</v>
      </c>
      <c r="I6" s="13">
        <v>2017</v>
      </c>
      <c r="J6" s="13">
        <v>2018</v>
      </c>
      <c r="K6" s="13">
        <v>2019</v>
      </c>
      <c r="L6" s="13">
        <v>2020</v>
      </c>
      <c r="M6" s="13">
        <v>2021</v>
      </c>
      <c r="N6" s="13">
        <v>2022</v>
      </c>
      <c r="O6" s="13">
        <v>2023</v>
      </c>
      <c r="P6" s="13">
        <v>2024</v>
      </c>
      <c r="Q6" s="19" t="s">
        <v>112</v>
      </c>
      <c r="R6" s="20" t="s">
        <v>113</v>
      </c>
      <c r="S6" s="21" t="s">
        <v>114</v>
      </c>
    </row>
    <row r="7" spans="1:19" s="13" customFormat="1" ht="12.75">
      <c r="A7" s="61" t="s">
        <v>115</v>
      </c>
      <c r="B7" s="40">
        <v>2527</v>
      </c>
      <c r="C7" s="40">
        <v>3069</v>
      </c>
      <c r="D7" s="40">
        <v>3606</v>
      </c>
      <c r="E7" s="40">
        <v>3829</v>
      </c>
      <c r="F7" s="40">
        <v>4542</v>
      </c>
      <c r="G7" s="40">
        <v>5262</v>
      </c>
      <c r="H7" s="40">
        <v>5611</v>
      </c>
      <c r="I7" s="40">
        <v>5756</v>
      </c>
      <c r="J7" s="40">
        <v>5985</v>
      </c>
      <c r="K7" s="40">
        <v>6205</v>
      </c>
      <c r="L7" s="40">
        <v>7291</v>
      </c>
      <c r="M7" s="40">
        <v>6709</v>
      </c>
      <c r="N7" s="13">
        <v>7352</v>
      </c>
      <c r="O7" s="13">
        <v>7508</v>
      </c>
      <c r="P7" s="13">
        <v>8192</v>
      </c>
      <c r="Q7" s="53">
        <f>AVERAGE(G7:P7)</f>
        <v>6587.1</v>
      </c>
      <c r="R7" s="28">
        <f>P7-Q7</f>
        <v>1604.8999999999996</v>
      </c>
      <c r="S7" s="28">
        <f>+P7-O7</f>
        <v>684</v>
      </c>
    </row>
    <row r="8" spans="1:19" s="13" customFormat="1" ht="12.75">
      <c r="A8" s="61" t="s">
        <v>153</v>
      </c>
      <c r="B8" s="40">
        <v>14.2</v>
      </c>
      <c r="C8" s="40">
        <v>16.2</v>
      </c>
      <c r="D8" s="40">
        <v>18.399999999999999</v>
      </c>
      <c r="E8" s="40">
        <v>19.3</v>
      </c>
      <c r="F8" s="40">
        <v>22.1</v>
      </c>
      <c r="G8" s="40">
        <v>24.2</v>
      </c>
      <c r="H8" s="40">
        <v>24.4</v>
      </c>
      <c r="I8" s="43">
        <f>5756*100/23897</f>
        <v>24.086705444198017</v>
      </c>
      <c r="J8" s="43">
        <f>5985*100/24884</f>
        <v>24.051599421314901</v>
      </c>
      <c r="K8" s="43">
        <v>24.2</v>
      </c>
      <c r="L8" s="43">
        <v>26.9</v>
      </c>
      <c r="M8" s="43">
        <f>6709*100/35310</f>
        <v>19.000283205890682</v>
      </c>
      <c r="N8" s="28">
        <f>+N7*100/29629</f>
        <v>24.813527287454857</v>
      </c>
      <c r="O8" s="28">
        <f>+O7/29443*100</f>
        <v>25.500118873756072</v>
      </c>
      <c r="P8" s="28">
        <f>P7*100/30117</f>
        <v>27.200584387555203</v>
      </c>
      <c r="Q8" s="53">
        <f>AVERAGE(G8:P8)</f>
        <v>24.435281862016971</v>
      </c>
      <c r="R8" s="28">
        <f>P8-Q8</f>
        <v>2.7653025255382317</v>
      </c>
      <c r="S8" s="28">
        <f>+P8-O8</f>
        <v>1.7004655137991307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A7898-45EF-4512-9809-4D30AB5A3F8F}">
  <sheetPr>
    <tabColor rgb="FF187AF0"/>
  </sheetPr>
  <dimension ref="A1:X16"/>
  <sheetViews>
    <sheetView topLeftCell="A10" workbookViewId="0">
      <selection activeCell="I32" sqref="I32"/>
    </sheetView>
  </sheetViews>
  <sheetFormatPr defaultRowHeight="15"/>
  <cols>
    <col min="1" max="1" width="27.42578125" customWidth="1"/>
  </cols>
  <sheetData>
    <row r="1" spans="1:24">
      <c r="A1" t="s">
        <v>50</v>
      </c>
    </row>
    <row r="4" spans="1:24" s="13" customFormat="1">
      <c r="B4" s="13">
        <v>2010</v>
      </c>
      <c r="C4" s="13">
        <v>2011</v>
      </c>
      <c r="D4" s="13">
        <v>2012</v>
      </c>
      <c r="E4" s="13">
        <v>2013</v>
      </c>
      <c r="F4" s="13">
        <v>2014</v>
      </c>
      <c r="G4" s="13">
        <v>2015</v>
      </c>
      <c r="H4" s="13">
        <v>2016</v>
      </c>
      <c r="I4" s="13">
        <v>2017</v>
      </c>
      <c r="J4" s="13">
        <v>2018</v>
      </c>
      <c r="K4" s="13">
        <v>2019</v>
      </c>
      <c r="L4" s="13">
        <v>2020</v>
      </c>
      <c r="M4" s="13">
        <v>2021</v>
      </c>
      <c r="N4" s="13">
        <v>2022</v>
      </c>
      <c r="O4" s="13">
        <v>2023</v>
      </c>
      <c r="P4" s="13">
        <v>2024</v>
      </c>
      <c r="Q4" s="19" t="s">
        <v>112</v>
      </c>
      <c r="R4" s="20" t="s">
        <v>113</v>
      </c>
      <c r="S4" s="21" t="s">
        <v>114</v>
      </c>
    </row>
    <row r="5" spans="1:24" s="13" customFormat="1" ht="12.75">
      <c r="A5" s="61" t="s">
        <v>154</v>
      </c>
      <c r="B5" s="40">
        <v>86.1</v>
      </c>
      <c r="C5" s="62">
        <v>97.8</v>
      </c>
      <c r="D5" s="62">
        <v>111.3</v>
      </c>
      <c r="E5" s="62">
        <v>121.4</v>
      </c>
      <c r="F5" s="62">
        <v>124.6</v>
      </c>
      <c r="G5" s="62">
        <v>142.1</v>
      </c>
      <c r="H5" s="62">
        <v>159.19999999999999</v>
      </c>
      <c r="I5" s="62">
        <v>167.9</v>
      </c>
      <c r="J5" s="62">
        <v>177.5</v>
      </c>
      <c r="K5" s="62">
        <v>181.9</v>
      </c>
      <c r="L5" s="62">
        <v>184.1</v>
      </c>
      <c r="M5" s="62">
        <v>197.8</v>
      </c>
      <c r="N5" s="13">
        <v>218.9</v>
      </c>
      <c r="O5" s="13">
        <v>238.3</v>
      </c>
      <c r="P5" s="110">
        <v>238.7</v>
      </c>
      <c r="Q5" s="28">
        <f>AVERAGE(G5:P5)</f>
        <v>190.64000000000001</v>
      </c>
      <c r="R5" s="28">
        <f>P5-Q5</f>
        <v>48.059999999999974</v>
      </c>
      <c r="S5" s="28">
        <f>+P5-O5</f>
        <v>0.39999999999997726</v>
      </c>
    </row>
    <row r="6" spans="1:24" s="13" customFormat="1" ht="12.75">
      <c r="A6" s="61" t="s">
        <v>16</v>
      </c>
      <c r="B6" s="40">
        <v>7.9</v>
      </c>
      <c r="C6" s="40">
        <v>8.1999999999999993</v>
      </c>
      <c r="D6" s="40">
        <v>7.7</v>
      </c>
      <c r="E6" s="40">
        <v>7.4</v>
      </c>
      <c r="F6" s="40">
        <v>7.3</v>
      </c>
      <c r="G6" s="43">
        <v>7</v>
      </c>
      <c r="H6" s="43">
        <v>7.2</v>
      </c>
      <c r="I6" s="43">
        <f>1169470/167957</f>
        <v>6.9629131265740636</v>
      </c>
      <c r="J6" s="43">
        <f>1236444/177492</f>
        <v>6.9661956595226826</v>
      </c>
      <c r="K6" s="43">
        <v>6.9</v>
      </c>
      <c r="L6" s="43">
        <v>6.7</v>
      </c>
      <c r="M6" s="43">
        <v>6.6</v>
      </c>
      <c r="N6" s="13">
        <v>6.3</v>
      </c>
      <c r="O6" s="13">
        <v>6.3</v>
      </c>
      <c r="P6" s="129">
        <v>6</v>
      </c>
      <c r="Q6" s="28">
        <f>AVERAGE(G6:P6)</f>
        <v>6.6929108786096752</v>
      </c>
      <c r="R6" s="28">
        <f>P6-Q6</f>
        <v>-0.69291087860967515</v>
      </c>
      <c r="S6" s="28">
        <f>+P6-O6</f>
        <v>-0.29999999999999982</v>
      </c>
    </row>
    <row r="8" spans="1:24">
      <c r="Q8" s="85" t="s">
        <v>156</v>
      </c>
      <c r="R8" t="s">
        <v>230</v>
      </c>
      <c r="U8" s="68"/>
      <c r="V8" s="68"/>
      <c r="W8" s="106" t="s">
        <v>195</v>
      </c>
      <c r="X8" t="s">
        <v>230</v>
      </c>
    </row>
    <row r="9" spans="1:24">
      <c r="P9" s="68" t="s">
        <v>159</v>
      </c>
      <c r="Q9" s="68">
        <v>1439249</v>
      </c>
      <c r="R9">
        <v>1492986</v>
      </c>
      <c r="U9" s="154" t="s">
        <v>231</v>
      </c>
      <c r="V9" s="68" t="s">
        <v>192</v>
      </c>
      <c r="W9" s="68">
        <v>1439249</v>
      </c>
      <c r="X9">
        <v>1492986</v>
      </c>
    </row>
    <row r="10" spans="1:24" ht="51">
      <c r="P10" s="83" t="s">
        <v>143</v>
      </c>
      <c r="Q10" s="68">
        <v>238722</v>
      </c>
      <c r="R10">
        <v>238295</v>
      </c>
      <c r="U10" s="154"/>
      <c r="V10" s="68" t="s">
        <v>187</v>
      </c>
      <c r="W10" s="119">
        <v>8192</v>
      </c>
      <c r="X10">
        <v>7508</v>
      </c>
    </row>
    <row r="11" spans="1:24" ht="25.5">
      <c r="P11" s="83" t="s">
        <v>16</v>
      </c>
      <c r="Q11" s="131">
        <f>Q9/Q10</f>
        <v>6.0289751258786373</v>
      </c>
      <c r="R11" s="11">
        <f>R9/R10</f>
        <v>6.2652846261986195</v>
      </c>
      <c r="U11" s="154"/>
      <c r="V11" s="68" t="s">
        <v>190</v>
      </c>
      <c r="W11" s="68">
        <f>W9/W10</f>
        <v>175.6895751953125</v>
      </c>
      <c r="X11">
        <f>X9/X10</f>
        <v>198.85269046350558</v>
      </c>
    </row>
    <row r="12" spans="1:24">
      <c r="U12" s="154"/>
      <c r="V12" s="68" t="s">
        <v>193</v>
      </c>
      <c r="W12" s="131">
        <f>W11*100/366</f>
        <v>48.002616173582652</v>
      </c>
      <c r="X12">
        <f>X11*100/365</f>
        <v>54.480189168083719</v>
      </c>
    </row>
    <row r="13" spans="1:24">
      <c r="Q13" t="s">
        <v>156</v>
      </c>
      <c r="U13" s="154" t="s">
        <v>191</v>
      </c>
      <c r="V13" s="68" t="s">
        <v>189</v>
      </c>
      <c r="W13" s="68">
        <v>7064464</v>
      </c>
    </row>
    <row r="14" spans="1:24">
      <c r="P14" s="164" t="s">
        <v>234</v>
      </c>
      <c r="Q14" s="164"/>
      <c r="R14" s="164"/>
      <c r="S14" s="164"/>
      <c r="T14" s="164"/>
      <c r="U14" s="154"/>
      <c r="V14" s="68" t="s">
        <v>187</v>
      </c>
      <c r="W14" s="68">
        <v>30117</v>
      </c>
    </row>
    <row r="15" spans="1:24">
      <c r="P15" s="68" t="s">
        <v>232</v>
      </c>
      <c r="Q15" s="70">
        <f>Q10/W10</f>
        <v>29.140869140625</v>
      </c>
      <c r="R15" s="68"/>
      <c r="S15" s="68"/>
      <c r="T15" s="68"/>
      <c r="U15" s="154"/>
      <c r="V15" s="68" t="s">
        <v>190</v>
      </c>
      <c r="W15" s="68">
        <f>W13/W14</f>
        <v>234.56732078228242</v>
      </c>
    </row>
    <row r="16" spans="1:24">
      <c r="P16" s="68" t="s">
        <v>233</v>
      </c>
      <c r="Q16" s="70">
        <f>1044045.5/30117</f>
        <v>34.666318026363847</v>
      </c>
      <c r="R16" s="68"/>
      <c r="S16" s="68"/>
      <c r="T16" s="68"/>
      <c r="U16" s="155"/>
      <c r="V16" s="68" t="s">
        <v>188</v>
      </c>
      <c r="W16" s="131">
        <f>W15*100/366</f>
        <v>64.08943190772743</v>
      </c>
    </row>
  </sheetData>
  <mergeCells count="3">
    <mergeCell ref="U9:U12"/>
    <mergeCell ref="U13:U16"/>
    <mergeCell ref="P14:T1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486DB-1B1C-45AC-8BB6-7BDDE6F97CF8}">
  <sheetPr>
    <tabColor rgb="FF187AF0"/>
  </sheetPr>
  <dimension ref="A1:S26"/>
  <sheetViews>
    <sheetView workbookViewId="0">
      <selection activeCell="C27" sqref="C27"/>
    </sheetView>
  </sheetViews>
  <sheetFormatPr defaultRowHeight="15"/>
  <cols>
    <col min="1" max="1" width="20.28515625" customWidth="1"/>
    <col min="17" max="17" width="9.42578125" bestFit="1" customWidth="1"/>
  </cols>
  <sheetData>
    <row r="1" spans="1:1">
      <c r="A1" t="s">
        <v>51</v>
      </c>
    </row>
    <row r="16" spans="1:1" s="13" customFormat="1" ht="12.75"/>
    <row r="17" spans="1:19" s="13" customFormat="1">
      <c r="B17" s="13">
        <v>2010</v>
      </c>
      <c r="C17" s="13">
        <v>2011</v>
      </c>
      <c r="D17" s="13">
        <v>2012</v>
      </c>
      <c r="E17" s="13">
        <v>2013</v>
      </c>
      <c r="F17" s="13">
        <v>2014</v>
      </c>
      <c r="G17" s="13">
        <v>2015</v>
      </c>
      <c r="H17" s="13">
        <v>2016</v>
      </c>
      <c r="I17" s="13">
        <v>2017</v>
      </c>
      <c r="J17" s="13">
        <v>2018</v>
      </c>
      <c r="K17" s="13">
        <v>2019</v>
      </c>
      <c r="L17" s="13">
        <v>2020</v>
      </c>
      <c r="M17" s="13">
        <v>2021</v>
      </c>
      <c r="N17" s="13">
        <v>2022</v>
      </c>
      <c r="O17" s="13">
        <v>2023</v>
      </c>
      <c r="P17" s="13">
        <v>2024</v>
      </c>
      <c r="Q17" s="19" t="s">
        <v>112</v>
      </c>
      <c r="R17" s="20" t="s">
        <v>113</v>
      </c>
      <c r="S17" s="21" t="s">
        <v>114</v>
      </c>
    </row>
    <row r="18" spans="1:19" s="45" customFormat="1" ht="25.5">
      <c r="A18" s="61" t="s">
        <v>155</v>
      </c>
      <c r="B18" s="40">
        <v>1036.9000000000001</v>
      </c>
      <c r="C18" s="62">
        <v>1986.9</v>
      </c>
      <c r="D18" s="62">
        <v>1320.9</v>
      </c>
      <c r="E18" s="62">
        <v>1756.7</v>
      </c>
      <c r="F18" s="62">
        <v>1786.6</v>
      </c>
      <c r="G18" s="62">
        <v>1912.7</v>
      </c>
      <c r="H18" s="62">
        <v>2063.5</v>
      </c>
      <c r="I18" s="62">
        <v>2269.1</v>
      </c>
      <c r="J18" s="62">
        <v>2485.9</v>
      </c>
      <c r="K18" s="62">
        <v>2794.3</v>
      </c>
      <c r="L18" s="62">
        <v>2419.5</v>
      </c>
      <c r="M18" s="62">
        <v>2602.3000000000002</v>
      </c>
      <c r="N18" s="65">
        <v>3342</v>
      </c>
      <c r="O18" s="65">
        <v>3891.3</v>
      </c>
      <c r="P18" s="65">
        <v>4177.5140000000001</v>
      </c>
      <c r="Q18" s="65">
        <f>AVERAGE(G18:P18)</f>
        <v>2795.8113999999996</v>
      </c>
      <c r="R18" s="66">
        <f>P18-Q18</f>
        <v>1381.7026000000005</v>
      </c>
      <c r="S18" s="66">
        <f>+P18-O18</f>
        <v>286.21399999999994</v>
      </c>
    </row>
    <row r="19" spans="1:19" s="13" customFormat="1" ht="12.75">
      <c r="A19" s="13" t="s">
        <v>141</v>
      </c>
      <c r="B19" s="40">
        <v>1549</v>
      </c>
      <c r="C19" s="40">
        <v>1677</v>
      </c>
      <c r="D19" s="40">
        <v>1904</v>
      </c>
      <c r="E19" s="40">
        <v>1965</v>
      </c>
      <c r="F19" s="40">
        <v>2368</v>
      </c>
      <c r="G19" s="40">
        <v>2698</v>
      </c>
      <c r="H19" s="40">
        <v>2935</v>
      </c>
      <c r="I19" s="40">
        <f>1347+1951</f>
        <v>3298</v>
      </c>
      <c r="J19" s="40">
        <v>3694</v>
      </c>
      <c r="K19" s="40">
        <v>3967</v>
      </c>
      <c r="L19" s="40">
        <v>4252</v>
      </c>
      <c r="M19" s="40">
        <v>4636</v>
      </c>
      <c r="N19" s="13">
        <v>5300</v>
      </c>
      <c r="Q19" s="63"/>
      <c r="R19" s="64"/>
      <c r="S19" s="64"/>
    </row>
    <row r="20" spans="1:19" s="13" customFormat="1" ht="12.75"/>
    <row r="22" spans="1:19">
      <c r="B22" t="s">
        <v>235</v>
      </c>
    </row>
    <row r="23" spans="1:19">
      <c r="A23" s="132" t="s">
        <v>221</v>
      </c>
      <c r="B23" s="123">
        <v>2779269</v>
      </c>
    </row>
    <row r="24" spans="1:19">
      <c r="A24" s="132" t="s">
        <v>222</v>
      </c>
      <c r="B24" s="123">
        <v>1398245</v>
      </c>
    </row>
    <row r="25" spans="1:19">
      <c r="B25">
        <f>SUM(B23:B24)</f>
        <v>4177514</v>
      </c>
    </row>
    <row r="26" spans="1:19">
      <c r="B26" s="11">
        <f>B25/1000</f>
        <v>4177.5140000000001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B5B90-4B18-494A-9860-76A16B260519}">
  <sheetPr>
    <tabColor rgb="FF187AF0"/>
  </sheetPr>
  <dimension ref="A1:L17"/>
  <sheetViews>
    <sheetView workbookViewId="0">
      <selection activeCell="M13" sqref="M13"/>
    </sheetView>
  </sheetViews>
  <sheetFormatPr defaultRowHeight="15"/>
  <cols>
    <col min="1" max="1" width="19.42578125" customWidth="1"/>
    <col min="2" max="2" width="12.42578125" customWidth="1"/>
    <col min="3" max="3" width="12.85546875" customWidth="1"/>
    <col min="4" max="4" width="13.42578125" customWidth="1"/>
    <col min="5" max="5" width="11" customWidth="1"/>
    <col min="8" max="8" width="20" customWidth="1"/>
  </cols>
  <sheetData>
    <row r="1" spans="1:12">
      <c r="A1" t="s">
        <v>65</v>
      </c>
    </row>
    <row r="4" spans="1:12" ht="15.75" customHeight="1" thickBot="1">
      <c r="H4" s="133"/>
      <c r="I4" s="133"/>
      <c r="J4" s="133"/>
      <c r="K4" s="133"/>
      <c r="L4" s="133" t="s">
        <v>156</v>
      </c>
    </row>
    <row r="5" spans="1:12" ht="25.5" customHeight="1" thickBot="1">
      <c r="A5" s="173" t="s">
        <v>52</v>
      </c>
      <c r="B5" s="175" t="s">
        <v>53</v>
      </c>
      <c r="C5" s="176"/>
      <c r="D5" s="175" t="s">
        <v>54</v>
      </c>
      <c r="E5" s="176"/>
      <c r="H5" s="170" t="s">
        <v>52</v>
      </c>
      <c r="I5" s="172" t="s">
        <v>53</v>
      </c>
      <c r="J5" s="172"/>
      <c r="K5" s="172" t="s">
        <v>54</v>
      </c>
      <c r="L5" s="172"/>
    </row>
    <row r="6" spans="1:12" ht="15.75" customHeight="1" thickBot="1">
      <c r="A6" s="174"/>
      <c r="B6" s="5" t="s">
        <v>55</v>
      </c>
      <c r="C6" s="5" t="s">
        <v>56</v>
      </c>
      <c r="D6" s="5" t="s">
        <v>55</v>
      </c>
      <c r="E6" s="5" t="s">
        <v>56</v>
      </c>
      <c r="H6" s="171"/>
      <c r="I6" s="135" t="s">
        <v>55</v>
      </c>
      <c r="J6" s="134" t="s">
        <v>56</v>
      </c>
      <c r="K6" s="135" t="s">
        <v>55</v>
      </c>
      <c r="L6" s="134" t="s">
        <v>56</v>
      </c>
    </row>
    <row r="7" spans="1:12" ht="15.75" thickBot="1">
      <c r="A7" s="8" t="s">
        <v>57</v>
      </c>
      <c r="B7" s="9">
        <v>4</v>
      </c>
      <c r="C7" s="10">
        <v>1.7</v>
      </c>
      <c r="D7" s="9">
        <v>239.5</v>
      </c>
      <c r="E7" s="10">
        <v>0.1</v>
      </c>
      <c r="H7" s="136" t="s">
        <v>57</v>
      </c>
      <c r="I7" s="137">
        <v>6</v>
      </c>
      <c r="J7" s="138">
        <v>2.6200873362445414</v>
      </c>
      <c r="K7" s="139">
        <v>253.5</v>
      </c>
      <c r="L7" s="138">
        <v>0.10619046422198206</v>
      </c>
    </row>
    <row r="8" spans="1:12" ht="15.75" thickBot="1">
      <c r="A8" s="8" t="s">
        <v>58</v>
      </c>
      <c r="B8" s="9">
        <v>24</v>
      </c>
      <c r="C8" s="10">
        <v>10.199999999999999</v>
      </c>
      <c r="D8" s="9">
        <v>8805.5</v>
      </c>
      <c r="E8" s="10">
        <v>3.7</v>
      </c>
      <c r="H8" s="140" t="s">
        <v>58</v>
      </c>
      <c r="I8" s="137">
        <v>22</v>
      </c>
      <c r="J8" s="141">
        <v>9.606986899563319</v>
      </c>
      <c r="K8" s="139">
        <v>8620.5</v>
      </c>
      <c r="L8" s="141">
        <v>3.6111041294895316</v>
      </c>
    </row>
    <row r="9" spans="1:12" ht="15.75" thickBot="1">
      <c r="A9" s="8" t="s">
        <v>59</v>
      </c>
      <c r="B9" s="9">
        <v>55</v>
      </c>
      <c r="C9" s="10">
        <v>23.4</v>
      </c>
      <c r="D9" s="9">
        <v>26426</v>
      </c>
      <c r="E9" s="10">
        <v>11.1</v>
      </c>
      <c r="H9" s="140" t="s">
        <v>59</v>
      </c>
      <c r="I9" s="137">
        <v>52</v>
      </c>
      <c r="J9" s="141">
        <v>22.707423580786028</v>
      </c>
      <c r="K9" s="139">
        <v>24204.5</v>
      </c>
      <c r="L9" s="141">
        <v>10.13919957104917</v>
      </c>
    </row>
    <row r="10" spans="1:12" ht="15.75" thickBot="1">
      <c r="A10" s="8" t="s">
        <v>60</v>
      </c>
      <c r="B10" s="9">
        <v>47</v>
      </c>
      <c r="C10" s="10">
        <v>20</v>
      </c>
      <c r="D10" s="9">
        <v>39453.5</v>
      </c>
      <c r="E10" s="10">
        <v>16.600000000000001</v>
      </c>
      <c r="H10" s="140" t="s">
        <v>60</v>
      </c>
      <c r="I10" s="137">
        <v>45</v>
      </c>
      <c r="J10" s="141">
        <v>19.650655021834062</v>
      </c>
      <c r="K10" s="139">
        <v>37099.5</v>
      </c>
      <c r="L10" s="141">
        <v>15.540880186995752</v>
      </c>
    </row>
    <row r="11" spans="1:12" ht="15.75" thickBot="1">
      <c r="A11" s="8" t="s">
        <v>61</v>
      </c>
      <c r="B11" s="9">
        <v>42</v>
      </c>
      <c r="C11" s="10">
        <v>17.899999999999999</v>
      </c>
      <c r="D11" s="9">
        <v>41098.5</v>
      </c>
      <c r="E11" s="10">
        <v>17.2</v>
      </c>
      <c r="H11" s="140" t="s">
        <v>61</v>
      </c>
      <c r="I11" s="137">
        <v>43</v>
      </c>
      <c r="J11" s="141">
        <v>18.777292576419214</v>
      </c>
      <c r="K11" s="139">
        <v>42276</v>
      </c>
      <c r="L11" s="141">
        <v>17.709302033327468</v>
      </c>
    </row>
    <row r="12" spans="1:12" ht="15.75" thickBot="1">
      <c r="A12" s="8" t="s">
        <v>62</v>
      </c>
      <c r="B12" s="9">
        <v>23</v>
      </c>
      <c r="C12" s="10">
        <v>9.8000000000000007</v>
      </c>
      <c r="D12" s="9">
        <v>30366</v>
      </c>
      <c r="E12" s="10">
        <v>12.7</v>
      </c>
      <c r="H12" s="140" t="s">
        <v>62</v>
      </c>
      <c r="I12" s="137">
        <v>25</v>
      </c>
      <c r="J12" s="141">
        <v>10.91703056768559</v>
      </c>
      <c r="K12" s="139">
        <v>31858.5</v>
      </c>
      <c r="L12" s="141">
        <v>13.345439465151934</v>
      </c>
    </row>
    <row r="13" spans="1:12" ht="29.25" thickBot="1">
      <c r="A13" s="8" t="s">
        <v>63</v>
      </c>
      <c r="B13" s="9">
        <v>40</v>
      </c>
      <c r="C13" s="10">
        <v>17</v>
      </c>
      <c r="D13" s="9">
        <v>91906</v>
      </c>
      <c r="E13" s="10">
        <v>38.6</v>
      </c>
      <c r="H13" s="140" t="s">
        <v>63</v>
      </c>
      <c r="I13" s="137">
        <v>36</v>
      </c>
      <c r="J13" s="141">
        <v>15.720524017467248</v>
      </c>
      <c r="K13" s="139">
        <v>94409.5</v>
      </c>
      <c r="L13" s="141">
        <v>39.547884149764158</v>
      </c>
    </row>
    <row r="14" spans="1:12" ht="15.75" thickBot="1">
      <c r="A14" s="6" t="s">
        <v>64</v>
      </c>
      <c r="B14" s="7">
        <v>235</v>
      </c>
      <c r="C14" s="5">
        <v>100</v>
      </c>
      <c r="D14" s="7">
        <v>238295</v>
      </c>
      <c r="E14" s="5">
        <v>100</v>
      </c>
      <c r="H14" s="142" t="s">
        <v>64</v>
      </c>
      <c r="I14" s="143">
        <v>229</v>
      </c>
      <c r="J14" s="144">
        <v>100</v>
      </c>
      <c r="K14" s="143">
        <v>238722</v>
      </c>
      <c r="L14" s="144">
        <v>100</v>
      </c>
    </row>
    <row r="17" spans="9:11">
      <c r="I17" s="11"/>
      <c r="J17" s="11"/>
      <c r="K17" s="11"/>
    </row>
  </sheetData>
  <mergeCells count="6">
    <mergeCell ref="H5:H6"/>
    <mergeCell ref="I5:J5"/>
    <mergeCell ref="K5:L5"/>
    <mergeCell ref="A5:A6"/>
    <mergeCell ref="B5:C5"/>
    <mergeCell ref="D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9C5BE-F2E1-4BEF-BC2D-92E3E74A5277}">
  <sheetPr>
    <tabColor rgb="FF187AF0"/>
  </sheetPr>
  <dimension ref="A1:E66"/>
  <sheetViews>
    <sheetView zoomScaleNormal="100" workbookViewId="0">
      <selection activeCell="G33" sqref="G33"/>
    </sheetView>
  </sheetViews>
  <sheetFormatPr defaultRowHeight="15"/>
  <cols>
    <col min="5" max="5" width="9.5703125" bestFit="1" customWidth="1"/>
  </cols>
  <sheetData>
    <row r="1" spans="1:5">
      <c r="A1" t="s">
        <v>1</v>
      </c>
    </row>
    <row r="6" spans="1:5">
      <c r="D6">
        <v>2024</v>
      </c>
      <c r="E6">
        <v>2024</v>
      </c>
    </row>
    <row r="7" spans="1:5">
      <c r="A7" t="s">
        <v>69</v>
      </c>
      <c r="B7" t="s">
        <v>55</v>
      </c>
      <c r="C7" t="s">
        <v>56</v>
      </c>
      <c r="D7" t="s">
        <v>55</v>
      </c>
      <c r="E7" t="s">
        <v>56</v>
      </c>
    </row>
    <row r="8" spans="1:5">
      <c r="A8" s="12" t="s">
        <v>70</v>
      </c>
      <c r="B8">
        <v>1</v>
      </c>
      <c r="C8" s="11">
        <f t="shared" ref="C8:C34" si="0">+B8*100/557</f>
        <v>0.17953321364452424</v>
      </c>
      <c r="D8">
        <v>1</v>
      </c>
      <c r="E8" s="11">
        <f>D8*100/$D$36</f>
        <v>0.18050541516245489</v>
      </c>
    </row>
    <row r="9" spans="1:5">
      <c r="A9" t="s">
        <v>71</v>
      </c>
      <c r="B9">
        <v>3</v>
      </c>
      <c r="C9" s="11">
        <f t="shared" si="0"/>
        <v>0.53859964093357271</v>
      </c>
      <c r="D9">
        <v>3</v>
      </c>
      <c r="E9" s="11">
        <f t="shared" ref="E9:E34" si="1">D9*100/$D$36</f>
        <v>0.54151624548736466</v>
      </c>
    </row>
    <row r="10" spans="1:5">
      <c r="A10" t="s">
        <v>72</v>
      </c>
      <c r="B10">
        <v>4</v>
      </c>
      <c r="C10" s="11">
        <f t="shared" si="0"/>
        <v>0.71813285457809695</v>
      </c>
      <c r="D10">
        <v>1</v>
      </c>
      <c r="E10" s="11">
        <f t="shared" si="1"/>
        <v>0.18050541516245489</v>
      </c>
    </row>
    <row r="11" spans="1:5">
      <c r="A11" t="s">
        <v>73</v>
      </c>
      <c r="B11">
        <v>5</v>
      </c>
      <c r="C11" s="11">
        <f t="shared" si="0"/>
        <v>0.89766606822262118</v>
      </c>
      <c r="D11">
        <v>8</v>
      </c>
      <c r="E11" s="11">
        <f t="shared" si="1"/>
        <v>1.4440433212996391</v>
      </c>
    </row>
    <row r="12" spans="1:5">
      <c r="A12" t="s">
        <v>74</v>
      </c>
      <c r="B12">
        <v>6</v>
      </c>
      <c r="C12" s="11">
        <f t="shared" si="0"/>
        <v>1.0771992818671454</v>
      </c>
      <c r="D12">
        <v>5</v>
      </c>
      <c r="E12" s="11">
        <f t="shared" si="1"/>
        <v>0.90252707581227432</v>
      </c>
    </row>
    <row r="13" spans="1:5">
      <c r="A13" t="s">
        <v>75</v>
      </c>
      <c r="B13">
        <v>6</v>
      </c>
      <c r="C13" s="11">
        <f t="shared" si="0"/>
        <v>1.0771992818671454</v>
      </c>
      <c r="D13">
        <v>9</v>
      </c>
      <c r="E13" s="11">
        <f t="shared" si="1"/>
        <v>1.6245487364620939</v>
      </c>
    </row>
    <row r="14" spans="1:5">
      <c r="A14" t="s">
        <v>76</v>
      </c>
      <c r="B14">
        <v>8</v>
      </c>
      <c r="C14" s="11">
        <f t="shared" si="0"/>
        <v>1.4362657091561939</v>
      </c>
      <c r="D14">
        <v>8</v>
      </c>
      <c r="E14" s="11">
        <f t="shared" si="1"/>
        <v>1.4440433212996391</v>
      </c>
    </row>
    <row r="15" spans="1:5">
      <c r="A15" t="s">
        <v>77</v>
      </c>
      <c r="B15">
        <v>10</v>
      </c>
      <c r="C15" s="11">
        <f t="shared" si="0"/>
        <v>1.7953321364452424</v>
      </c>
      <c r="D15">
        <v>11</v>
      </c>
      <c r="E15" s="11">
        <f t="shared" si="1"/>
        <v>1.9855595667870036</v>
      </c>
    </row>
    <row r="16" spans="1:5">
      <c r="A16" t="s">
        <v>78</v>
      </c>
      <c r="B16">
        <v>11</v>
      </c>
      <c r="C16" s="11">
        <f t="shared" si="0"/>
        <v>1.9748653500897666</v>
      </c>
      <c r="D16" s="69">
        <v>13</v>
      </c>
      <c r="E16" s="11">
        <f t="shared" si="1"/>
        <v>2.3465703971119134</v>
      </c>
    </row>
    <row r="17" spans="1:5">
      <c r="A17" t="s">
        <v>79</v>
      </c>
      <c r="B17">
        <v>12</v>
      </c>
      <c r="C17" s="11">
        <f t="shared" si="0"/>
        <v>2.1543985637342908</v>
      </c>
      <c r="D17">
        <v>13</v>
      </c>
      <c r="E17" s="11">
        <f t="shared" si="1"/>
        <v>2.3465703971119134</v>
      </c>
    </row>
    <row r="18" spans="1:5">
      <c r="A18" t="s">
        <v>80</v>
      </c>
      <c r="B18">
        <v>13</v>
      </c>
      <c r="C18" s="11">
        <f t="shared" si="0"/>
        <v>2.3339317773788153</v>
      </c>
      <c r="D18">
        <v>12</v>
      </c>
      <c r="E18" s="11">
        <f t="shared" si="1"/>
        <v>2.1660649819494586</v>
      </c>
    </row>
    <row r="19" spans="1:5">
      <c r="A19" t="s">
        <v>81</v>
      </c>
      <c r="B19">
        <v>13</v>
      </c>
      <c r="C19" s="11">
        <f t="shared" si="0"/>
        <v>2.3339317773788153</v>
      </c>
      <c r="D19">
        <v>11</v>
      </c>
      <c r="E19" s="11">
        <f t="shared" si="1"/>
        <v>1.9855595667870036</v>
      </c>
    </row>
    <row r="20" spans="1:5">
      <c r="A20" t="s">
        <v>82</v>
      </c>
      <c r="B20">
        <v>16</v>
      </c>
      <c r="C20" s="11">
        <f t="shared" si="0"/>
        <v>2.8725314183123878</v>
      </c>
      <c r="D20">
        <v>13</v>
      </c>
      <c r="E20" s="11">
        <f t="shared" si="1"/>
        <v>2.3465703971119134</v>
      </c>
    </row>
    <row r="21" spans="1:5">
      <c r="A21" t="s">
        <v>83</v>
      </c>
      <c r="B21">
        <v>17</v>
      </c>
      <c r="C21" s="11">
        <f t="shared" si="0"/>
        <v>3.0520646319569122</v>
      </c>
      <c r="D21">
        <v>20</v>
      </c>
      <c r="E21" s="11">
        <f t="shared" si="1"/>
        <v>3.6101083032490973</v>
      </c>
    </row>
    <row r="22" spans="1:5">
      <c r="A22" t="s">
        <v>84</v>
      </c>
      <c r="B22">
        <v>17</v>
      </c>
      <c r="C22" s="11">
        <f t="shared" si="0"/>
        <v>3.0520646319569122</v>
      </c>
      <c r="D22">
        <v>18</v>
      </c>
      <c r="E22" s="11">
        <f t="shared" si="1"/>
        <v>3.2490974729241877</v>
      </c>
    </row>
    <row r="23" spans="1:5">
      <c r="A23" t="s">
        <v>85</v>
      </c>
      <c r="B23">
        <v>18</v>
      </c>
      <c r="C23" s="11">
        <f t="shared" si="0"/>
        <v>3.2315978456014363</v>
      </c>
      <c r="D23">
        <v>24</v>
      </c>
      <c r="E23" s="11">
        <f t="shared" si="1"/>
        <v>4.3321299638989172</v>
      </c>
    </row>
    <row r="24" spans="1:5">
      <c r="A24" t="s">
        <v>86</v>
      </c>
      <c r="B24">
        <v>20</v>
      </c>
      <c r="C24" s="11">
        <f t="shared" si="0"/>
        <v>3.5906642728904847</v>
      </c>
      <c r="D24">
        <v>20</v>
      </c>
      <c r="E24" s="11">
        <f t="shared" si="1"/>
        <v>3.6101083032490973</v>
      </c>
    </row>
    <row r="25" spans="1:5">
      <c r="A25" t="s">
        <v>87</v>
      </c>
      <c r="B25">
        <v>21</v>
      </c>
      <c r="C25" s="11">
        <f t="shared" si="0"/>
        <v>3.7701974865350092</v>
      </c>
      <c r="D25">
        <v>24</v>
      </c>
      <c r="E25" s="11">
        <f t="shared" si="1"/>
        <v>4.3321299638989172</v>
      </c>
    </row>
    <row r="26" spans="1:5">
      <c r="A26" t="s">
        <v>88</v>
      </c>
      <c r="B26">
        <v>23</v>
      </c>
      <c r="C26" s="11">
        <f t="shared" si="0"/>
        <v>4.1292639138240572</v>
      </c>
      <c r="D26">
        <v>22</v>
      </c>
      <c r="E26" s="11">
        <f t="shared" si="1"/>
        <v>3.9711191335740073</v>
      </c>
    </row>
    <row r="27" spans="1:5">
      <c r="A27" t="s">
        <v>89</v>
      </c>
      <c r="B27">
        <v>32</v>
      </c>
      <c r="C27" s="11">
        <f t="shared" si="0"/>
        <v>5.7450628366247756</v>
      </c>
      <c r="D27">
        <v>36</v>
      </c>
      <c r="E27" s="11">
        <f t="shared" si="1"/>
        <v>6.4981949458483754</v>
      </c>
    </row>
    <row r="28" spans="1:5">
      <c r="A28" t="s">
        <v>90</v>
      </c>
      <c r="B28">
        <v>32</v>
      </c>
      <c r="C28" s="11">
        <f t="shared" si="0"/>
        <v>5.7450628366247756</v>
      </c>
      <c r="D28">
        <v>49</v>
      </c>
      <c r="E28" s="11">
        <f t="shared" si="1"/>
        <v>8.8447653429602884</v>
      </c>
    </row>
    <row r="29" spans="1:5">
      <c r="A29" t="s">
        <v>91</v>
      </c>
      <c r="B29">
        <v>34</v>
      </c>
      <c r="C29" s="11">
        <f t="shared" si="0"/>
        <v>6.1041292639138245</v>
      </c>
      <c r="D29">
        <v>36</v>
      </c>
      <c r="E29" s="11">
        <f t="shared" si="1"/>
        <v>6.4981949458483754</v>
      </c>
    </row>
    <row r="30" spans="1:5">
      <c r="A30" t="s">
        <v>92</v>
      </c>
      <c r="B30">
        <v>37</v>
      </c>
      <c r="C30" s="11">
        <f t="shared" si="0"/>
        <v>6.642728904847397</v>
      </c>
      <c r="D30">
        <v>23</v>
      </c>
      <c r="E30" s="11">
        <f t="shared" si="1"/>
        <v>4.1516245487364625</v>
      </c>
    </row>
    <row r="31" spans="1:5">
      <c r="A31" t="s">
        <v>93</v>
      </c>
      <c r="B31">
        <v>38</v>
      </c>
      <c r="C31" s="11">
        <f t="shared" si="0"/>
        <v>6.8222621184919214</v>
      </c>
      <c r="D31">
        <v>32</v>
      </c>
      <c r="E31" s="11">
        <f t="shared" si="1"/>
        <v>5.7761732851985563</v>
      </c>
    </row>
    <row r="32" spans="1:5">
      <c r="A32" t="s">
        <v>94</v>
      </c>
      <c r="B32">
        <v>47</v>
      </c>
      <c r="C32" s="11">
        <f t="shared" si="0"/>
        <v>8.4380610412926398</v>
      </c>
      <c r="D32">
        <v>32</v>
      </c>
      <c r="E32" s="11">
        <f t="shared" si="1"/>
        <v>5.7761732851985563</v>
      </c>
    </row>
    <row r="33" spans="1:5">
      <c r="A33" t="s">
        <v>95</v>
      </c>
      <c r="B33">
        <v>47</v>
      </c>
      <c r="C33" s="11">
        <f t="shared" si="0"/>
        <v>8.4380610412926398</v>
      </c>
      <c r="D33">
        <v>46</v>
      </c>
      <c r="E33" s="11">
        <f t="shared" si="1"/>
        <v>8.3032490974729249</v>
      </c>
    </row>
    <row r="34" spans="1:5">
      <c r="A34" t="s">
        <v>96</v>
      </c>
      <c r="B34">
        <v>66</v>
      </c>
      <c r="C34" s="11">
        <f t="shared" si="0"/>
        <v>11.8491921005386</v>
      </c>
      <c r="D34">
        <v>64</v>
      </c>
      <c r="E34" s="11">
        <f t="shared" si="1"/>
        <v>11.552346570397113</v>
      </c>
    </row>
    <row r="36" spans="1:5">
      <c r="A36" s="151">
        <v>2024</v>
      </c>
      <c r="B36" s="151"/>
      <c r="C36" s="151"/>
      <c r="D36">
        <f>SUM(D8:D35)</f>
        <v>554</v>
      </c>
    </row>
    <row r="37" spans="1:5">
      <c r="A37" t="s">
        <v>69</v>
      </c>
      <c r="B37" t="s">
        <v>55</v>
      </c>
      <c r="C37" t="s">
        <v>56</v>
      </c>
    </row>
    <row r="38" spans="1:5">
      <c r="A38" s="12" t="s">
        <v>70</v>
      </c>
      <c r="B38">
        <v>1</v>
      </c>
      <c r="C38" s="11">
        <f>B38*100/$B$66</f>
        <v>0.18050541516245489</v>
      </c>
    </row>
    <row r="39" spans="1:5">
      <c r="A39" t="s">
        <v>72</v>
      </c>
      <c r="B39">
        <v>1</v>
      </c>
      <c r="C39" s="11">
        <f t="shared" ref="C39:C64" si="2">B39*100/$B$66</f>
        <v>0.18050541516245489</v>
      </c>
    </row>
    <row r="40" spans="1:5">
      <c r="A40" t="s">
        <v>71</v>
      </c>
      <c r="B40">
        <v>3</v>
      </c>
      <c r="C40" s="11">
        <f t="shared" si="2"/>
        <v>0.54151624548736466</v>
      </c>
    </row>
    <row r="41" spans="1:5">
      <c r="A41" t="s">
        <v>74</v>
      </c>
      <c r="B41">
        <v>5</v>
      </c>
      <c r="C41" s="11">
        <f t="shared" si="2"/>
        <v>0.90252707581227432</v>
      </c>
    </row>
    <row r="42" spans="1:5">
      <c r="A42" t="s">
        <v>73</v>
      </c>
      <c r="B42">
        <v>8</v>
      </c>
      <c r="C42" s="11">
        <f t="shared" si="2"/>
        <v>1.4440433212996391</v>
      </c>
    </row>
    <row r="43" spans="1:5">
      <c r="A43" t="s">
        <v>76</v>
      </c>
      <c r="B43">
        <v>8</v>
      </c>
      <c r="C43" s="11">
        <f t="shared" si="2"/>
        <v>1.4440433212996391</v>
      </c>
    </row>
    <row r="44" spans="1:5">
      <c r="A44" t="s">
        <v>75</v>
      </c>
      <c r="B44">
        <v>9</v>
      </c>
      <c r="C44" s="11">
        <f t="shared" si="2"/>
        <v>1.6245487364620939</v>
      </c>
    </row>
    <row r="45" spans="1:5">
      <c r="A45" t="s">
        <v>77</v>
      </c>
      <c r="B45">
        <v>11</v>
      </c>
      <c r="C45" s="11">
        <f t="shared" si="2"/>
        <v>1.9855595667870036</v>
      </c>
    </row>
    <row r="46" spans="1:5">
      <c r="A46" t="s">
        <v>81</v>
      </c>
      <c r="B46">
        <v>11</v>
      </c>
      <c r="C46" s="11">
        <f t="shared" si="2"/>
        <v>1.9855595667870036</v>
      </c>
    </row>
    <row r="47" spans="1:5">
      <c r="A47" t="s">
        <v>80</v>
      </c>
      <c r="B47">
        <v>12</v>
      </c>
      <c r="C47" s="11">
        <f t="shared" si="2"/>
        <v>2.1660649819494586</v>
      </c>
    </row>
    <row r="48" spans="1:5">
      <c r="A48" t="s">
        <v>78</v>
      </c>
      <c r="B48" s="69">
        <v>13</v>
      </c>
      <c r="C48" s="11">
        <f t="shared" si="2"/>
        <v>2.3465703971119134</v>
      </c>
    </row>
    <row r="49" spans="1:3">
      <c r="A49" t="s">
        <v>79</v>
      </c>
      <c r="B49">
        <v>13</v>
      </c>
      <c r="C49" s="11">
        <f t="shared" si="2"/>
        <v>2.3465703971119134</v>
      </c>
    </row>
    <row r="50" spans="1:3">
      <c r="A50" t="s">
        <v>82</v>
      </c>
      <c r="B50">
        <v>13</v>
      </c>
      <c r="C50" s="11">
        <f t="shared" si="2"/>
        <v>2.3465703971119134</v>
      </c>
    </row>
    <row r="51" spans="1:3">
      <c r="A51" t="s">
        <v>84</v>
      </c>
      <c r="B51">
        <v>18</v>
      </c>
      <c r="C51" s="11">
        <f t="shared" si="2"/>
        <v>3.2490974729241877</v>
      </c>
    </row>
    <row r="52" spans="1:3">
      <c r="A52" t="s">
        <v>83</v>
      </c>
      <c r="B52">
        <v>20</v>
      </c>
      <c r="C52" s="11">
        <f t="shared" si="2"/>
        <v>3.6101083032490973</v>
      </c>
    </row>
    <row r="53" spans="1:3">
      <c r="A53" t="s">
        <v>86</v>
      </c>
      <c r="B53">
        <v>20</v>
      </c>
      <c r="C53" s="11">
        <f t="shared" si="2"/>
        <v>3.6101083032490973</v>
      </c>
    </row>
    <row r="54" spans="1:3">
      <c r="A54" t="s">
        <v>88</v>
      </c>
      <c r="B54">
        <v>22</v>
      </c>
      <c r="C54" s="11">
        <f t="shared" si="2"/>
        <v>3.9711191335740073</v>
      </c>
    </row>
    <row r="55" spans="1:3">
      <c r="A55" t="s">
        <v>92</v>
      </c>
      <c r="B55">
        <v>23</v>
      </c>
      <c r="C55" s="11">
        <f t="shared" si="2"/>
        <v>4.1516245487364625</v>
      </c>
    </row>
    <row r="56" spans="1:3">
      <c r="A56" t="s">
        <v>85</v>
      </c>
      <c r="B56">
        <v>24</v>
      </c>
      <c r="C56" s="11">
        <f t="shared" si="2"/>
        <v>4.3321299638989172</v>
      </c>
    </row>
    <row r="57" spans="1:3">
      <c r="A57" t="s">
        <v>87</v>
      </c>
      <c r="B57">
        <v>24</v>
      </c>
      <c r="C57" s="11">
        <f t="shared" si="2"/>
        <v>4.3321299638989172</v>
      </c>
    </row>
    <row r="58" spans="1:3">
      <c r="A58" t="s">
        <v>93</v>
      </c>
      <c r="B58">
        <v>32</v>
      </c>
      <c r="C58" s="11">
        <f t="shared" si="2"/>
        <v>5.7761732851985563</v>
      </c>
    </row>
    <row r="59" spans="1:3">
      <c r="A59" t="s">
        <v>94</v>
      </c>
      <c r="B59">
        <v>32</v>
      </c>
      <c r="C59" s="11">
        <f t="shared" si="2"/>
        <v>5.7761732851985563</v>
      </c>
    </row>
    <row r="60" spans="1:3">
      <c r="A60" t="s">
        <v>89</v>
      </c>
      <c r="B60">
        <v>36</v>
      </c>
      <c r="C60" s="11">
        <f t="shared" si="2"/>
        <v>6.4981949458483754</v>
      </c>
    </row>
    <row r="61" spans="1:3">
      <c r="A61" t="s">
        <v>91</v>
      </c>
      <c r="B61">
        <v>36</v>
      </c>
      <c r="C61" s="11">
        <f t="shared" si="2"/>
        <v>6.4981949458483754</v>
      </c>
    </row>
    <row r="62" spans="1:3">
      <c r="A62" t="s">
        <v>95</v>
      </c>
      <c r="B62">
        <v>46</v>
      </c>
      <c r="C62" s="11">
        <f t="shared" si="2"/>
        <v>8.3032490974729249</v>
      </c>
    </row>
    <row r="63" spans="1:3">
      <c r="A63" t="s">
        <v>90</v>
      </c>
      <c r="B63">
        <v>49</v>
      </c>
      <c r="C63" s="11">
        <f t="shared" si="2"/>
        <v>8.8447653429602884</v>
      </c>
    </row>
    <row r="64" spans="1:3">
      <c r="A64" t="s">
        <v>96</v>
      </c>
      <c r="B64">
        <v>64</v>
      </c>
      <c r="C64" s="11">
        <f t="shared" si="2"/>
        <v>11.552346570397113</v>
      </c>
    </row>
    <row r="66" spans="2:2">
      <c r="B66">
        <f>SUM(B38:B65)</f>
        <v>554</v>
      </c>
    </row>
  </sheetData>
  <sortState xmlns:xlrd2="http://schemas.microsoft.com/office/spreadsheetml/2017/richdata2" ref="A38:B64">
    <sortCondition ref="B37:B64"/>
  </sortState>
  <mergeCells count="1">
    <mergeCell ref="A36:C3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ED1B5-AF97-4CBB-99A7-47A30F901BBD}">
  <sheetPr>
    <tabColor rgb="FF187AF0"/>
  </sheetPr>
  <dimension ref="A1:C52"/>
  <sheetViews>
    <sheetView workbookViewId="0">
      <selection activeCell="G33" sqref="G33"/>
    </sheetView>
  </sheetViews>
  <sheetFormatPr defaultRowHeight="15"/>
  <sheetData>
    <row r="1" spans="1:3">
      <c r="A1" t="s">
        <v>2</v>
      </c>
    </row>
    <row r="4" spans="1:3">
      <c r="A4" t="s">
        <v>69</v>
      </c>
      <c r="B4" t="s">
        <v>55</v>
      </c>
      <c r="C4" t="s">
        <v>56</v>
      </c>
    </row>
    <row r="5" spans="1:3">
      <c r="A5" t="s">
        <v>97</v>
      </c>
      <c r="B5">
        <v>7</v>
      </c>
      <c r="C5" s="11">
        <f t="shared" ref="C5:C25" si="0">+B5*100/800</f>
        <v>0.875</v>
      </c>
    </row>
    <row r="6" spans="1:3">
      <c r="A6" t="s">
        <v>79</v>
      </c>
      <c r="B6">
        <v>9</v>
      </c>
      <c r="C6" s="11">
        <f t="shared" si="0"/>
        <v>1.125</v>
      </c>
    </row>
    <row r="7" spans="1:3">
      <c r="A7" t="s">
        <v>98</v>
      </c>
      <c r="B7">
        <v>9</v>
      </c>
      <c r="C7" s="11">
        <f t="shared" si="0"/>
        <v>1.125</v>
      </c>
    </row>
    <row r="8" spans="1:3">
      <c r="A8" t="s">
        <v>84</v>
      </c>
      <c r="B8">
        <v>10</v>
      </c>
      <c r="C8" s="11">
        <f t="shared" si="0"/>
        <v>1.25</v>
      </c>
    </row>
    <row r="9" spans="1:3">
      <c r="A9" t="s">
        <v>99</v>
      </c>
      <c r="B9">
        <v>10</v>
      </c>
      <c r="C9" s="11">
        <f t="shared" si="0"/>
        <v>1.25</v>
      </c>
    </row>
    <row r="10" spans="1:3">
      <c r="A10" t="s">
        <v>100</v>
      </c>
      <c r="B10">
        <v>15</v>
      </c>
      <c r="C10" s="11">
        <f t="shared" si="0"/>
        <v>1.875</v>
      </c>
    </row>
    <row r="11" spans="1:3">
      <c r="A11" t="s">
        <v>101</v>
      </c>
      <c r="B11">
        <v>15</v>
      </c>
      <c r="C11" s="11">
        <f t="shared" si="0"/>
        <v>1.875</v>
      </c>
    </row>
    <row r="12" spans="1:3">
      <c r="A12" t="s">
        <v>102</v>
      </c>
      <c r="B12">
        <v>20</v>
      </c>
      <c r="C12" s="11">
        <f t="shared" si="0"/>
        <v>2.5</v>
      </c>
    </row>
    <row r="13" spans="1:3">
      <c r="A13" t="s">
        <v>81</v>
      </c>
      <c r="B13">
        <v>21</v>
      </c>
      <c r="C13" s="11">
        <f t="shared" si="0"/>
        <v>2.625</v>
      </c>
    </row>
    <row r="14" spans="1:3">
      <c r="A14" t="s">
        <v>103</v>
      </c>
      <c r="B14">
        <v>22</v>
      </c>
      <c r="C14" s="11">
        <f t="shared" si="0"/>
        <v>2.75</v>
      </c>
    </row>
    <row r="15" spans="1:3">
      <c r="A15" t="s">
        <v>82</v>
      </c>
      <c r="B15">
        <v>22</v>
      </c>
      <c r="C15" s="11">
        <f t="shared" si="0"/>
        <v>2.75</v>
      </c>
    </row>
    <row r="16" spans="1:3">
      <c r="A16" t="s">
        <v>104</v>
      </c>
      <c r="B16">
        <v>25</v>
      </c>
      <c r="C16" s="11">
        <f t="shared" si="0"/>
        <v>3.125</v>
      </c>
    </row>
    <row r="17" spans="1:3">
      <c r="A17" t="s">
        <v>105</v>
      </c>
      <c r="B17">
        <v>26</v>
      </c>
      <c r="C17" s="11">
        <f t="shared" si="0"/>
        <v>3.25</v>
      </c>
    </row>
    <row r="18" spans="1:3">
      <c r="A18" t="s">
        <v>106</v>
      </c>
      <c r="B18">
        <v>29</v>
      </c>
      <c r="C18" s="11">
        <f t="shared" si="0"/>
        <v>3.625</v>
      </c>
    </row>
    <row r="19" spans="1:3">
      <c r="A19" t="s">
        <v>85</v>
      </c>
      <c r="B19">
        <v>35</v>
      </c>
      <c r="C19" s="11">
        <f t="shared" si="0"/>
        <v>4.375</v>
      </c>
    </row>
    <row r="20" spans="1:3">
      <c r="A20" t="s">
        <v>107</v>
      </c>
      <c r="B20">
        <v>40</v>
      </c>
      <c r="C20" s="11">
        <f t="shared" si="0"/>
        <v>5</v>
      </c>
    </row>
    <row r="21" spans="1:3">
      <c r="A21" t="s">
        <v>108</v>
      </c>
      <c r="B21">
        <v>49</v>
      </c>
      <c r="C21" s="11">
        <f t="shared" si="0"/>
        <v>6.125</v>
      </c>
    </row>
    <row r="22" spans="1:3">
      <c r="A22" t="s">
        <v>109</v>
      </c>
      <c r="B22">
        <v>52</v>
      </c>
      <c r="C22" s="11">
        <f t="shared" si="0"/>
        <v>6.5</v>
      </c>
    </row>
    <row r="23" spans="1:3">
      <c r="A23" t="s">
        <v>110</v>
      </c>
      <c r="B23">
        <v>80</v>
      </c>
      <c r="C23" s="11">
        <f t="shared" si="0"/>
        <v>10</v>
      </c>
    </row>
    <row r="24" spans="1:3">
      <c r="A24" t="s">
        <v>92</v>
      </c>
      <c r="B24">
        <v>107</v>
      </c>
      <c r="C24" s="11">
        <f t="shared" si="0"/>
        <v>13.375</v>
      </c>
    </row>
    <row r="25" spans="1:3">
      <c r="A25" t="s">
        <v>111</v>
      </c>
      <c r="B25">
        <v>197</v>
      </c>
      <c r="C25" s="11">
        <f t="shared" si="0"/>
        <v>24.625</v>
      </c>
    </row>
    <row r="27" spans="1:3">
      <c r="A27" s="72"/>
      <c r="B27" s="71" t="s">
        <v>156</v>
      </c>
      <c r="C27" s="71" t="s">
        <v>156</v>
      </c>
    </row>
    <row r="28" spans="1:3">
      <c r="A28" s="74" t="s">
        <v>69</v>
      </c>
      <c r="B28" s="74" t="s">
        <v>55</v>
      </c>
      <c r="C28" s="74" t="s">
        <v>56</v>
      </c>
    </row>
    <row r="29" spans="1:3">
      <c r="A29" s="72" t="s">
        <v>157</v>
      </c>
      <c r="B29" s="71">
        <v>1</v>
      </c>
      <c r="C29" s="73">
        <v>0.1</v>
      </c>
    </row>
    <row r="30" spans="1:3">
      <c r="A30" s="72" t="s">
        <v>97</v>
      </c>
      <c r="B30" s="71">
        <v>6</v>
      </c>
      <c r="C30" s="73">
        <v>0.7</v>
      </c>
    </row>
    <row r="31" spans="1:3">
      <c r="A31" s="72" t="s">
        <v>79</v>
      </c>
      <c r="B31" s="71">
        <v>8</v>
      </c>
      <c r="C31" s="73">
        <v>1</v>
      </c>
    </row>
    <row r="32" spans="1:3">
      <c r="A32" s="72" t="s">
        <v>98</v>
      </c>
      <c r="B32" s="71">
        <v>9</v>
      </c>
      <c r="C32" s="73">
        <v>1.1000000000000001</v>
      </c>
    </row>
    <row r="33" spans="1:3">
      <c r="A33" s="72" t="s">
        <v>100</v>
      </c>
      <c r="B33" s="71">
        <v>10</v>
      </c>
      <c r="C33" s="73">
        <v>1.2</v>
      </c>
    </row>
    <row r="34" spans="1:3">
      <c r="A34" s="72" t="s">
        <v>99</v>
      </c>
      <c r="B34" s="71">
        <v>11</v>
      </c>
      <c r="C34" s="73">
        <v>1.3</v>
      </c>
    </row>
    <row r="35" spans="1:3">
      <c r="A35" s="72" t="s">
        <v>84</v>
      </c>
      <c r="B35" s="71">
        <v>13</v>
      </c>
      <c r="C35" s="73">
        <v>1.6</v>
      </c>
    </row>
    <row r="36" spans="1:3">
      <c r="A36" s="72" t="s">
        <v>101</v>
      </c>
      <c r="B36" s="71">
        <v>13</v>
      </c>
      <c r="C36" s="73">
        <v>1.6</v>
      </c>
    </row>
    <row r="37" spans="1:3">
      <c r="A37" s="72" t="s">
        <v>82</v>
      </c>
      <c r="B37" s="71">
        <v>19</v>
      </c>
      <c r="C37" s="73">
        <v>2.2999999999999998</v>
      </c>
    </row>
    <row r="38" spans="1:3">
      <c r="A38" s="72" t="s">
        <v>104</v>
      </c>
      <c r="B38" s="71">
        <v>19</v>
      </c>
      <c r="C38" s="73">
        <v>2.2999999999999998</v>
      </c>
    </row>
    <row r="39" spans="1:3">
      <c r="A39" s="72" t="s">
        <v>102</v>
      </c>
      <c r="B39" s="71">
        <v>20</v>
      </c>
      <c r="C39" s="73">
        <v>2.4</v>
      </c>
    </row>
    <row r="40" spans="1:3">
      <c r="A40" s="72" t="s">
        <v>81</v>
      </c>
      <c r="B40" s="71">
        <v>20</v>
      </c>
      <c r="C40" s="73">
        <v>2.4</v>
      </c>
    </row>
    <row r="41" spans="1:3">
      <c r="A41" s="72" t="s">
        <v>103</v>
      </c>
      <c r="B41" s="71">
        <v>22</v>
      </c>
      <c r="C41" s="73">
        <v>2.7</v>
      </c>
    </row>
    <row r="42" spans="1:3">
      <c r="A42" s="72" t="s">
        <v>105</v>
      </c>
      <c r="B42" s="71">
        <v>24</v>
      </c>
      <c r="C42" s="73">
        <v>2.9</v>
      </c>
    </row>
    <row r="43" spans="1:3">
      <c r="A43" s="72" t="s">
        <v>106</v>
      </c>
      <c r="B43" s="71">
        <v>32</v>
      </c>
      <c r="C43" s="73">
        <v>3.9</v>
      </c>
    </row>
    <row r="44" spans="1:3">
      <c r="A44" s="72" t="s">
        <v>85</v>
      </c>
      <c r="B44" s="71">
        <v>38</v>
      </c>
      <c r="C44" s="73">
        <v>4.7</v>
      </c>
    </row>
    <row r="45" spans="1:3">
      <c r="A45" s="72" t="s">
        <v>109</v>
      </c>
      <c r="B45" s="71">
        <v>43</v>
      </c>
      <c r="C45" s="73">
        <v>5.3</v>
      </c>
    </row>
    <row r="46" spans="1:3">
      <c r="A46" s="72" t="s">
        <v>107</v>
      </c>
      <c r="B46" s="71">
        <v>45</v>
      </c>
      <c r="C46" s="73">
        <v>5.5</v>
      </c>
    </row>
    <row r="47" spans="1:3">
      <c r="A47" s="72" t="s">
        <v>108</v>
      </c>
      <c r="B47" s="71">
        <v>50</v>
      </c>
      <c r="C47" s="73">
        <v>6.1</v>
      </c>
    </row>
    <row r="48" spans="1:3">
      <c r="A48" s="72" t="s">
        <v>110</v>
      </c>
      <c r="B48" s="71">
        <v>66</v>
      </c>
      <c r="C48" s="73">
        <v>8.1</v>
      </c>
    </row>
    <row r="49" spans="1:3">
      <c r="A49" s="72" t="s">
        <v>92</v>
      </c>
      <c r="B49" s="71">
        <v>148</v>
      </c>
      <c r="C49" s="73">
        <v>18.100000000000001</v>
      </c>
    </row>
    <row r="50" spans="1:3">
      <c r="A50" s="72" t="s">
        <v>111</v>
      </c>
      <c r="B50" s="71">
        <v>200</v>
      </c>
      <c r="C50" s="73">
        <v>24.5</v>
      </c>
    </row>
    <row r="51" spans="1:3">
      <c r="A51" s="72"/>
    </row>
    <row r="52" spans="1:3">
      <c r="B52">
        <f>SUM(B29:B51)</f>
        <v>817</v>
      </c>
    </row>
  </sheetData>
  <sortState xmlns:xlrd2="http://schemas.microsoft.com/office/spreadsheetml/2017/richdata2" ref="A29:C50">
    <sortCondition ref="B29:B50"/>
  </sortState>
  <phoneticPr fontId="10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9FA80-9464-408B-BFAE-BA38F101896A}">
  <sheetPr>
    <tabColor rgb="FF187AF0"/>
  </sheetPr>
  <dimension ref="A1:W11"/>
  <sheetViews>
    <sheetView topLeftCell="A10" workbookViewId="0">
      <selection activeCell="U3" sqref="U3:W11"/>
    </sheetView>
  </sheetViews>
  <sheetFormatPr defaultRowHeight="15"/>
  <cols>
    <col min="1" max="1" width="23.85546875" customWidth="1"/>
    <col min="2" max="2" width="8.140625" customWidth="1"/>
    <col min="18" max="18" width="12.140625" customWidth="1"/>
    <col min="22" max="22" width="18.7109375" customWidth="1"/>
  </cols>
  <sheetData>
    <row r="1" spans="1:23">
      <c r="A1" t="s">
        <v>3</v>
      </c>
    </row>
    <row r="3" spans="1:23">
      <c r="U3" s="68"/>
      <c r="V3" s="68"/>
      <c r="W3" s="106" t="s">
        <v>195</v>
      </c>
    </row>
    <row r="4" spans="1:23">
      <c r="U4" s="154" t="s">
        <v>194</v>
      </c>
      <c r="V4" s="68" t="s">
        <v>192</v>
      </c>
      <c r="W4" s="68">
        <v>436906</v>
      </c>
    </row>
    <row r="5" spans="1:23">
      <c r="U5" s="154"/>
      <c r="V5" s="68" t="s">
        <v>187</v>
      </c>
      <c r="W5" s="68">
        <v>1801</v>
      </c>
    </row>
    <row r="6" spans="1:23" ht="30">
      <c r="A6" s="13"/>
      <c r="B6" s="13">
        <v>2010</v>
      </c>
      <c r="C6" s="13">
        <v>2011</v>
      </c>
      <c r="D6" s="13">
        <v>2012</v>
      </c>
      <c r="E6" s="13">
        <v>2013</v>
      </c>
      <c r="F6" s="13">
        <v>2014</v>
      </c>
      <c r="G6" s="13">
        <v>2015</v>
      </c>
      <c r="H6" s="13">
        <v>2016</v>
      </c>
      <c r="I6" s="13">
        <v>2017</v>
      </c>
      <c r="J6" s="13">
        <v>2018</v>
      </c>
      <c r="K6" s="13">
        <v>2019</v>
      </c>
      <c r="L6" s="13">
        <v>2020</v>
      </c>
      <c r="M6" s="13">
        <v>2021</v>
      </c>
      <c r="N6" s="13">
        <v>2022</v>
      </c>
      <c r="O6" s="13">
        <v>2023</v>
      </c>
      <c r="P6" s="75">
        <v>2024</v>
      </c>
      <c r="Q6" s="14" t="s">
        <v>112</v>
      </c>
      <c r="R6" s="15" t="s">
        <v>113</v>
      </c>
      <c r="S6" s="16" t="s">
        <v>114</v>
      </c>
      <c r="U6" s="154"/>
      <c r="V6" s="68" t="s">
        <v>190</v>
      </c>
      <c r="W6" s="68">
        <f>W4/W5</f>
        <v>242.59078289838979</v>
      </c>
    </row>
    <row r="7" spans="1:23">
      <c r="A7" s="17" t="s">
        <v>115</v>
      </c>
      <c r="B7" s="17">
        <v>1129</v>
      </c>
      <c r="C7" s="17">
        <v>1145</v>
      </c>
      <c r="D7" s="17">
        <v>1290</v>
      </c>
      <c r="E7" s="18">
        <v>1285</v>
      </c>
      <c r="F7" s="18">
        <v>1470</v>
      </c>
      <c r="G7" s="18">
        <v>1484</v>
      </c>
      <c r="H7" s="18">
        <v>1539</v>
      </c>
      <c r="I7" s="18">
        <v>1681</v>
      </c>
      <c r="J7" s="18">
        <v>1682</v>
      </c>
      <c r="K7" s="18">
        <v>1692</v>
      </c>
      <c r="L7" s="18">
        <v>1870</v>
      </c>
      <c r="M7" s="18">
        <v>2246</v>
      </c>
      <c r="N7" s="18">
        <v>1914</v>
      </c>
      <c r="O7" s="18">
        <v>1859</v>
      </c>
      <c r="P7" s="80">
        <v>1801</v>
      </c>
      <c r="Q7" s="19">
        <f>AVERAGE(G7:P7)</f>
        <v>1776.8</v>
      </c>
      <c r="R7" s="20">
        <f>P7-Q7</f>
        <v>24.200000000000045</v>
      </c>
      <c r="S7" s="21">
        <f>O7-P7</f>
        <v>58</v>
      </c>
      <c r="U7" s="154"/>
      <c r="V7" s="68" t="s">
        <v>193</v>
      </c>
      <c r="W7" s="84">
        <f>W6*100/366</f>
        <v>66.281634671691208</v>
      </c>
    </row>
    <row r="8" spans="1:23" ht="25.5">
      <c r="A8" s="22" t="s">
        <v>116</v>
      </c>
      <c r="B8" s="22">
        <v>46.3</v>
      </c>
      <c r="C8" s="22">
        <v>43.2</v>
      </c>
      <c r="D8" s="22">
        <v>49.4</v>
      </c>
      <c r="E8" s="23">
        <v>51.1</v>
      </c>
      <c r="F8" s="23">
        <v>54.8</v>
      </c>
      <c r="G8" s="23">
        <v>55.8</v>
      </c>
      <c r="H8" s="23">
        <v>57.1</v>
      </c>
      <c r="I8" s="23">
        <v>54.8</v>
      </c>
      <c r="J8" s="23">
        <v>56.3</v>
      </c>
      <c r="K8" s="23">
        <v>59</v>
      </c>
      <c r="L8" s="23">
        <v>54.1</v>
      </c>
      <c r="M8" s="23">
        <v>65.2</v>
      </c>
      <c r="N8" s="23">
        <v>65</v>
      </c>
      <c r="O8" s="23">
        <v>64.2</v>
      </c>
      <c r="P8" s="81">
        <v>63.3</v>
      </c>
      <c r="Q8" s="24">
        <f>AVERAGE(G8:P8)</f>
        <v>59.48</v>
      </c>
      <c r="R8" s="25">
        <f>P8-Q8</f>
        <v>3.8200000000000003</v>
      </c>
      <c r="S8" s="26">
        <f>O8-P8</f>
        <v>0.90000000000000568</v>
      </c>
      <c r="U8" s="154" t="s">
        <v>191</v>
      </c>
      <c r="V8" s="68" t="s">
        <v>189</v>
      </c>
      <c r="W8" s="68">
        <v>7064464</v>
      </c>
    </row>
    <row r="9" spans="1:23">
      <c r="U9" s="154"/>
      <c r="V9" s="68" t="s">
        <v>187</v>
      </c>
      <c r="W9" s="68">
        <v>30117</v>
      </c>
    </row>
    <row r="10" spans="1:23">
      <c r="U10" s="154"/>
      <c r="V10" s="68" t="s">
        <v>190</v>
      </c>
      <c r="W10" s="68">
        <f>W8/W9</f>
        <v>234.56732078228242</v>
      </c>
    </row>
    <row r="11" spans="1:23">
      <c r="U11" s="155"/>
      <c r="V11" s="68" t="s">
        <v>188</v>
      </c>
      <c r="W11" s="84">
        <f>W10*100/366</f>
        <v>64.08943190772743</v>
      </c>
    </row>
  </sheetData>
  <mergeCells count="2">
    <mergeCell ref="U8:U11"/>
    <mergeCell ref="U4:U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9131F-8AFB-45FD-BB04-D206341535CD}">
  <sheetPr>
    <tabColor rgb="FF187AF0"/>
  </sheetPr>
  <dimension ref="A1:W85"/>
  <sheetViews>
    <sheetView topLeftCell="A13" zoomScale="115" zoomScaleNormal="115" workbookViewId="0">
      <selection activeCell="J66" sqref="J66"/>
    </sheetView>
  </sheetViews>
  <sheetFormatPr defaultRowHeight="15"/>
  <cols>
    <col min="1" max="1" width="32.5703125" customWidth="1"/>
    <col min="2" max="2" width="8.5703125" bestFit="1" customWidth="1"/>
    <col min="3" max="4" width="7.5703125" bestFit="1" customWidth="1"/>
    <col min="5" max="5" width="8.5703125" customWidth="1"/>
    <col min="6" max="14" width="7.5703125" bestFit="1" customWidth="1"/>
    <col min="15" max="15" width="8.140625" bestFit="1" customWidth="1"/>
    <col min="16" max="16" width="5" bestFit="1" customWidth="1"/>
    <col min="17" max="17" width="14.5703125" bestFit="1" customWidth="1"/>
    <col min="18" max="18" width="25" bestFit="1" customWidth="1"/>
    <col min="19" max="19" width="12.7109375" bestFit="1" customWidth="1"/>
    <col min="20" max="20" width="8" bestFit="1" customWidth="1"/>
    <col min="21" max="21" width="5.7109375" bestFit="1" customWidth="1"/>
    <col min="22" max="22" width="4.42578125" bestFit="1" customWidth="1"/>
  </cols>
  <sheetData>
    <row r="1" spans="1:21">
      <c r="A1" t="s">
        <v>4</v>
      </c>
    </row>
    <row r="3" spans="1:21">
      <c r="T3" s="85" t="s">
        <v>156</v>
      </c>
    </row>
    <row r="4" spans="1:21">
      <c r="S4" s="68" t="s">
        <v>159</v>
      </c>
      <c r="T4" s="68">
        <v>436906</v>
      </c>
    </row>
    <row r="5" spans="1:21" ht="38.25">
      <c r="S5" s="83" t="s">
        <v>143</v>
      </c>
      <c r="T5" s="68">
        <v>63314.5</v>
      </c>
      <c r="U5" s="11"/>
    </row>
    <row r="6" spans="1:21" ht="25.5">
      <c r="S6" s="83" t="s">
        <v>16</v>
      </c>
      <c r="T6" s="84">
        <f>T4/T5</f>
        <v>6.900567800424863</v>
      </c>
    </row>
    <row r="10" spans="1:21" s="13" customFormat="1">
      <c r="B10" s="13">
        <v>2010</v>
      </c>
      <c r="C10" s="13">
        <v>2011</v>
      </c>
      <c r="D10" s="13">
        <v>2012</v>
      </c>
      <c r="E10" s="13">
        <v>2013</v>
      </c>
      <c r="F10" s="13">
        <v>2014</v>
      </c>
      <c r="G10" s="13">
        <v>2015</v>
      </c>
      <c r="H10" s="13">
        <v>2016</v>
      </c>
      <c r="I10" s="13">
        <v>2017</v>
      </c>
      <c r="J10" s="13">
        <v>2018</v>
      </c>
      <c r="K10" s="13">
        <v>2019</v>
      </c>
      <c r="L10" s="13">
        <v>2020</v>
      </c>
      <c r="M10" s="13">
        <v>2021</v>
      </c>
      <c r="N10" s="13">
        <v>2022</v>
      </c>
      <c r="O10" s="13">
        <v>2023</v>
      </c>
      <c r="P10" s="76">
        <v>2024</v>
      </c>
      <c r="Q10" s="19" t="s">
        <v>112</v>
      </c>
      <c r="R10" s="20" t="s">
        <v>113</v>
      </c>
      <c r="S10" s="21" t="s">
        <v>114</v>
      </c>
    </row>
    <row r="11" spans="1:21" s="13" customFormat="1">
      <c r="A11" s="22" t="s">
        <v>16</v>
      </c>
      <c r="B11" s="22">
        <v>7.8</v>
      </c>
      <c r="C11" s="22">
        <v>7.5</v>
      </c>
      <c r="D11" s="22">
        <v>7.7</v>
      </c>
      <c r="E11" s="18">
        <v>7.6</v>
      </c>
      <c r="F11" s="18">
        <v>7.6</v>
      </c>
      <c r="G11" s="18">
        <v>7.6</v>
      </c>
      <c r="H11" s="18">
        <v>7.5</v>
      </c>
      <c r="I11" s="18">
        <v>7.2</v>
      </c>
      <c r="J11" s="18">
        <v>7.2</v>
      </c>
      <c r="K11" s="18">
        <v>7.1</v>
      </c>
      <c r="L11" s="18">
        <v>6.9</v>
      </c>
      <c r="M11" s="18">
        <v>7.5</v>
      </c>
      <c r="N11" s="18">
        <v>6.9</v>
      </c>
      <c r="O11" s="18">
        <v>6.9</v>
      </c>
      <c r="P11" s="80">
        <v>6.9</v>
      </c>
      <c r="Q11" s="24">
        <f>AVERAGE(F11:O11)</f>
        <v>7.24</v>
      </c>
      <c r="R11" s="27">
        <f>+O11-Q11</f>
        <v>-0.33999999999999986</v>
      </c>
      <c r="S11" s="21">
        <f>+N11-O11</f>
        <v>0</v>
      </c>
      <c r="T11" s="13">
        <f>N11-E11</f>
        <v>-0.69999999999999929</v>
      </c>
    </row>
    <row r="12" spans="1:21" s="13" customFormat="1">
      <c r="A12" s="86" t="s">
        <v>17</v>
      </c>
      <c r="B12" s="22">
        <v>30</v>
      </c>
      <c r="C12" s="22">
        <v>26.8</v>
      </c>
      <c r="D12" s="22">
        <v>30.4</v>
      </c>
      <c r="E12" s="23">
        <v>27.9</v>
      </c>
      <c r="F12" s="23">
        <v>30.1</v>
      </c>
      <c r="G12" s="23">
        <v>29</v>
      </c>
      <c r="H12" s="23">
        <v>30</v>
      </c>
      <c r="I12" s="23">
        <v>30.3</v>
      </c>
      <c r="J12" s="23">
        <v>30.9</v>
      </c>
      <c r="K12" s="23">
        <v>27.7</v>
      </c>
      <c r="L12" s="23">
        <v>35.700000000000003</v>
      </c>
      <c r="M12" s="23">
        <f>M18*100/M17</f>
        <v>22.580645161290324</v>
      </c>
      <c r="N12" s="23">
        <f>N18*100/N17</f>
        <v>29.863013698630137</v>
      </c>
      <c r="O12" s="23">
        <v>27.8</v>
      </c>
      <c r="P12" s="81"/>
      <c r="Q12" s="24">
        <f>AVERAGE(F12:O12)</f>
        <v>29.394365885992045</v>
      </c>
      <c r="R12" s="25">
        <f>+O12-Q12</f>
        <v>-1.594365885992044</v>
      </c>
      <c r="S12" s="26">
        <f>+O12-N12</f>
        <v>-2.0630136986301366</v>
      </c>
    </row>
    <row r="13" spans="1:21" s="13" customFormat="1" ht="12.75">
      <c r="N13" s="28">
        <f>+N11-E11</f>
        <v>-0.69999999999999929</v>
      </c>
      <c r="O13" s="28"/>
      <c r="P13" s="28"/>
      <c r="Q13" s="28"/>
    </row>
    <row r="14" spans="1:21" s="13" customFormat="1" ht="12.75">
      <c r="U14" s="28"/>
    </row>
    <row r="15" spans="1:21" s="13" customFormat="1" ht="12.75"/>
    <row r="16" spans="1:21" s="13" customFormat="1">
      <c r="B16" s="13" t="s">
        <v>117</v>
      </c>
      <c r="C16" s="13" t="s">
        <v>118</v>
      </c>
      <c r="D16" s="13" t="s">
        <v>119</v>
      </c>
      <c r="E16" s="13" t="s">
        <v>120</v>
      </c>
      <c r="F16" s="13" t="s">
        <v>121</v>
      </c>
      <c r="G16" s="13" t="s">
        <v>122</v>
      </c>
      <c r="H16" s="13" t="s">
        <v>123</v>
      </c>
      <c r="I16" s="13" t="s">
        <v>124</v>
      </c>
      <c r="J16" s="13" t="s">
        <v>125</v>
      </c>
      <c r="K16" s="13" t="s">
        <v>126</v>
      </c>
      <c r="L16" s="13" t="s">
        <v>127</v>
      </c>
      <c r="M16" s="29" t="s">
        <v>128</v>
      </c>
      <c r="N16" s="13" t="s">
        <v>129</v>
      </c>
      <c r="O16" s="29" t="s">
        <v>130</v>
      </c>
      <c r="P16" s="32">
        <v>2024</v>
      </c>
      <c r="Q16" s="19" t="s">
        <v>112</v>
      </c>
    </row>
    <row r="17" spans="1:19" s="30" customFormat="1" ht="12.75">
      <c r="A17" s="87" t="s">
        <v>131</v>
      </c>
      <c r="M17" s="31">
        <v>620</v>
      </c>
      <c r="N17" s="31">
        <v>365</v>
      </c>
      <c r="O17" s="31">
        <v>356</v>
      </c>
      <c r="P17" s="82"/>
    </row>
    <row r="18" spans="1:19" s="30" customFormat="1" ht="12.75">
      <c r="A18" s="30" t="s">
        <v>132</v>
      </c>
      <c r="M18" s="31">
        <v>140</v>
      </c>
      <c r="N18" s="32">
        <v>109</v>
      </c>
      <c r="O18" s="32">
        <v>99</v>
      </c>
      <c r="P18" s="82"/>
    </row>
    <row r="19" spans="1:19" s="13" customFormat="1" ht="12.75">
      <c r="A19" s="13" t="s">
        <v>133</v>
      </c>
      <c r="M19" s="29">
        <v>77</v>
      </c>
      <c r="N19" s="29">
        <v>53</v>
      </c>
      <c r="O19" s="29">
        <v>49</v>
      </c>
      <c r="P19" s="29"/>
      <c r="S19" s="28">
        <f>+O18/O17*100</f>
        <v>27.808988764044944</v>
      </c>
    </row>
    <row r="20" spans="1:19" s="13" customFormat="1" ht="12.75">
      <c r="A20" s="13" t="s">
        <v>134</v>
      </c>
      <c r="M20" s="33">
        <f>M19*100/M18</f>
        <v>55</v>
      </c>
      <c r="N20" s="33">
        <f>N19*100/N18</f>
        <v>48.623853211009177</v>
      </c>
      <c r="O20" s="33">
        <f>O19*100/O18</f>
        <v>49.494949494949495</v>
      </c>
      <c r="P20" s="33"/>
    </row>
    <row r="23" spans="1:19">
      <c r="N23" s="11">
        <f>1801*100/30117</f>
        <v>5.9800112893050432</v>
      </c>
      <c r="S23" t="s">
        <v>186</v>
      </c>
    </row>
    <row r="24" spans="1:19">
      <c r="R24" t="s">
        <v>185</v>
      </c>
    </row>
    <row r="25" spans="1:19">
      <c r="R25" s="89"/>
    </row>
    <row r="27" spans="1:19">
      <c r="R27" s="103"/>
    </row>
    <row r="28" spans="1:19">
      <c r="R28" s="11"/>
    </row>
    <row r="37" spans="1:23">
      <c r="A37" s="68"/>
      <c r="B37" s="156" t="s">
        <v>156</v>
      </c>
      <c r="C37" s="156"/>
      <c r="D37" s="156"/>
      <c r="E37" s="156"/>
    </row>
    <row r="38" spans="1:23" ht="49.5">
      <c r="A38" s="68"/>
      <c r="B38" s="97" t="s">
        <v>180</v>
      </c>
      <c r="C38" s="97" t="s">
        <v>182</v>
      </c>
      <c r="D38" s="97" t="s">
        <v>181</v>
      </c>
      <c r="E38" s="97" t="s">
        <v>16</v>
      </c>
      <c r="Q38" s="104"/>
      <c r="R38" s="104"/>
      <c r="S38" s="104"/>
    </row>
    <row r="39" spans="1:23">
      <c r="A39" s="94" t="s">
        <v>174</v>
      </c>
      <c r="B39" s="93">
        <v>304</v>
      </c>
      <c r="C39" s="98">
        <f>B39*100/$B$61</f>
        <v>0.48014277930016031</v>
      </c>
      <c r="D39" s="96">
        <v>1840</v>
      </c>
      <c r="E39" s="100">
        <f>D39/B39</f>
        <v>6.0526315789473681</v>
      </c>
      <c r="F39" s="11"/>
    </row>
    <row r="40" spans="1:23">
      <c r="A40" s="94" t="s">
        <v>172</v>
      </c>
      <c r="B40" s="93">
        <v>338</v>
      </c>
      <c r="C40" s="98">
        <f t="shared" ref="C40:C59" si="0">B40*100/$B$61</f>
        <v>0.533842958563994</v>
      </c>
      <c r="D40" s="96">
        <v>1569</v>
      </c>
      <c r="E40" s="100">
        <f t="shared" ref="E40:E59" si="1">D40/B40</f>
        <v>4.6420118343195265</v>
      </c>
      <c r="F40" s="11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</row>
    <row r="41" spans="1:23">
      <c r="A41" s="94" t="s">
        <v>167</v>
      </c>
      <c r="B41" s="93">
        <v>374</v>
      </c>
      <c r="C41" s="98">
        <f t="shared" si="0"/>
        <v>0.59070197190217089</v>
      </c>
      <c r="D41" s="96">
        <v>9782</v>
      </c>
      <c r="E41" s="98">
        <f t="shared" si="1"/>
        <v>26.155080213903744</v>
      </c>
      <c r="F41" s="11">
        <f>E41-6.9</f>
        <v>19.255080213903746</v>
      </c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  <row r="42" spans="1:23">
      <c r="A42" s="94" t="s">
        <v>176</v>
      </c>
      <c r="B42" s="93">
        <v>402.5</v>
      </c>
      <c r="C42" s="98">
        <f t="shared" si="0"/>
        <v>0.63571535746156094</v>
      </c>
      <c r="D42" s="99">
        <v>2547</v>
      </c>
      <c r="E42" s="100">
        <f t="shared" si="1"/>
        <v>6.3279503105590065</v>
      </c>
      <c r="F42" s="11"/>
    </row>
    <row r="43" spans="1:23">
      <c r="A43" s="94" t="s">
        <v>173</v>
      </c>
      <c r="B43" s="93">
        <v>487</v>
      </c>
      <c r="C43" s="98">
        <f t="shared" si="0"/>
        <v>0.76917609710255941</v>
      </c>
      <c r="D43" s="96">
        <v>5972</v>
      </c>
      <c r="E43" s="98">
        <f t="shared" si="1"/>
        <v>12.262833675564682</v>
      </c>
      <c r="F43" s="11">
        <f>E43-6.9</f>
        <v>5.3628336755646817</v>
      </c>
    </row>
    <row r="44" spans="1:23">
      <c r="A44" s="94" t="s">
        <v>177</v>
      </c>
      <c r="B44" s="93">
        <v>832.5</v>
      </c>
      <c r="C44" s="98">
        <f t="shared" si="0"/>
        <v>1.3148646834453404</v>
      </c>
      <c r="D44" s="96">
        <v>4369</v>
      </c>
      <c r="E44" s="100">
        <f t="shared" si="1"/>
        <v>5.248048048048048</v>
      </c>
      <c r="F44" s="11"/>
    </row>
    <row r="45" spans="1:23">
      <c r="A45" s="94" t="s">
        <v>175</v>
      </c>
      <c r="B45" s="93">
        <v>1092.5</v>
      </c>
      <c r="C45" s="98">
        <f t="shared" si="0"/>
        <v>1.725513113109951</v>
      </c>
      <c r="D45" s="96">
        <v>6611</v>
      </c>
      <c r="E45" s="100">
        <f t="shared" si="1"/>
        <v>6.0512585812356976</v>
      </c>
      <c r="F45" s="11"/>
    </row>
    <row r="46" spans="1:23">
      <c r="A46" s="94" t="s">
        <v>171</v>
      </c>
      <c r="B46" s="93">
        <v>1126</v>
      </c>
      <c r="C46" s="98">
        <f t="shared" si="0"/>
        <v>1.7784235838551989</v>
      </c>
      <c r="D46" s="96">
        <v>3701</v>
      </c>
      <c r="E46" s="100">
        <f t="shared" si="1"/>
        <v>3.2868561278863231</v>
      </c>
      <c r="F46" s="11"/>
    </row>
    <row r="47" spans="1:23">
      <c r="A47" s="94" t="s">
        <v>166</v>
      </c>
      <c r="B47" s="93">
        <v>1298</v>
      </c>
      <c r="C47" s="98">
        <f t="shared" si="0"/>
        <v>2.0500833142487109</v>
      </c>
      <c r="D47" s="96">
        <v>9469</v>
      </c>
      <c r="E47" s="98">
        <f t="shared" si="1"/>
        <v>7.2950693374422189</v>
      </c>
      <c r="F47" s="11">
        <f>E47-6.9</f>
        <v>0.3950693374422185</v>
      </c>
    </row>
    <row r="48" spans="1:23">
      <c r="A48" s="94" t="s">
        <v>179</v>
      </c>
      <c r="B48" s="93">
        <v>1640</v>
      </c>
      <c r="C48" s="98">
        <f t="shared" si="0"/>
        <v>2.5902439409613911</v>
      </c>
      <c r="D48" s="96">
        <v>9933</v>
      </c>
      <c r="E48" s="100">
        <f t="shared" si="1"/>
        <v>6.0567073170731707</v>
      </c>
      <c r="F48" s="11"/>
    </row>
    <row r="49" spans="1:16">
      <c r="A49" s="94" t="s">
        <v>165</v>
      </c>
      <c r="B49" s="93">
        <v>2314</v>
      </c>
      <c r="C49" s="98">
        <f t="shared" si="0"/>
        <v>3.654771024015036</v>
      </c>
      <c r="D49" s="96">
        <v>17024</v>
      </c>
      <c r="E49" s="98">
        <f t="shared" si="1"/>
        <v>7.3569576490924806</v>
      </c>
      <c r="F49" s="11">
        <f>E49-6.9</f>
        <v>0.45695764909248027</v>
      </c>
    </row>
    <row r="50" spans="1:16">
      <c r="A50" s="94" t="s">
        <v>92</v>
      </c>
      <c r="B50" s="95">
        <v>2430</v>
      </c>
      <c r="C50" s="98">
        <f t="shared" si="0"/>
        <v>3.8379834003269395</v>
      </c>
      <c r="D50" s="96">
        <v>18751</v>
      </c>
      <c r="E50" s="98">
        <f t="shared" si="1"/>
        <v>7.7164609053497939</v>
      </c>
      <c r="F50" s="11">
        <f t="shared" ref="F50:F59" si="2">E50-6.9</f>
        <v>0.81646090534979354</v>
      </c>
    </row>
    <row r="51" spans="1:16">
      <c r="A51" s="94" t="s">
        <v>178</v>
      </c>
      <c r="B51" s="93">
        <v>2479.5</v>
      </c>
      <c r="C51" s="98">
        <f t="shared" si="0"/>
        <v>3.9161645436669326</v>
      </c>
      <c r="D51" s="96">
        <v>19372</v>
      </c>
      <c r="E51" s="98">
        <f t="shared" si="1"/>
        <v>7.8128654970760234</v>
      </c>
      <c r="F51" s="11">
        <f t="shared" si="2"/>
        <v>0.91286549707602305</v>
      </c>
    </row>
    <row r="52" spans="1:16">
      <c r="A52" s="94" t="s">
        <v>169</v>
      </c>
      <c r="B52" s="93">
        <v>2887</v>
      </c>
      <c r="C52" s="98">
        <f t="shared" si="0"/>
        <v>4.5597769863143514</v>
      </c>
      <c r="D52" s="96">
        <v>30431</v>
      </c>
      <c r="E52" s="98">
        <f t="shared" si="1"/>
        <v>10.540699688257707</v>
      </c>
      <c r="F52" s="11">
        <f t="shared" si="2"/>
        <v>3.6406996882577065</v>
      </c>
    </row>
    <row r="53" spans="1:16">
      <c r="A53" s="94" t="s">
        <v>168</v>
      </c>
      <c r="B53" s="93">
        <v>3404</v>
      </c>
      <c r="C53" s="98">
        <f t="shared" si="0"/>
        <v>5.3763355945320583</v>
      </c>
      <c r="D53" s="96">
        <v>25888</v>
      </c>
      <c r="E53" s="98">
        <f t="shared" si="1"/>
        <v>7.6051703877790837</v>
      </c>
      <c r="F53" s="11">
        <f t="shared" si="2"/>
        <v>0.70517038777908336</v>
      </c>
    </row>
    <row r="54" spans="1:16">
      <c r="A54" s="94" t="s">
        <v>163</v>
      </c>
      <c r="B54" s="93">
        <v>3713</v>
      </c>
      <c r="C54" s="98">
        <f t="shared" si="0"/>
        <v>5.8643754590180768</v>
      </c>
      <c r="D54" s="96">
        <v>24645</v>
      </c>
      <c r="E54" s="100">
        <f t="shared" si="1"/>
        <v>6.6374899003501211</v>
      </c>
      <c r="F54" s="11"/>
    </row>
    <row r="55" spans="1:16">
      <c r="A55" s="94" t="s">
        <v>170</v>
      </c>
      <c r="B55" s="93">
        <v>4724.5</v>
      </c>
      <c r="C55" s="98">
        <f t="shared" si="0"/>
        <v>7.4619557921171298</v>
      </c>
      <c r="D55" s="96">
        <v>34054</v>
      </c>
      <c r="E55" s="98">
        <f t="shared" si="1"/>
        <v>7.207958514128479</v>
      </c>
      <c r="F55" s="11">
        <f t="shared" si="2"/>
        <v>0.30795851412847863</v>
      </c>
    </row>
    <row r="56" spans="1:16">
      <c r="A56" s="94" t="s">
        <v>161</v>
      </c>
      <c r="B56" s="93">
        <v>6072</v>
      </c>
      <c r="C56" s="98">
        <f t="shared" si="0"/>
        <v>9.5902202497058333</v>
      </c>
      <c r="D56" s="90">
        <v>32598</v>
      </c>
      <c r="E56" s="100">
        <f t="shared" si="1"/>
        <v>5.3685770750988144</v>
      </c>
      <c r="F56" s="11"/>
    </row>
    <row r="57" spans="1:16">
      <c r="A57" s="94" t="s">
        <v>160</v>
      </c>
      <c r="B57" s="93">
        <v>7799</v>
      </c>
      <c r="C57" s="98">
        <f t="shared" si="0"/>
        <v>12.317873472901152</v>
      </c>
      <c r="D57" s="96">
        <v>56501</v>
      </c>
      <c r="E57" s="98">
        <f t="shared" si="1"/>
        <v>7.2446467495832803</v>
      </c>
      <c r="F57" s="11">
        <f t="shared" si="2"/>
        <v>0.3446467495832799</v>
      </c>
    </row>
    <row r="58" spans="1:16">
      <c r="A58" s="94" t="s">
        <v>162</v>
      </c>
      <c r="B58" s="93">
        <v>8069.5</v>
      </c>
      <c r="C58" s="98">
        <f t="shared" si="0"/>
        <v>12.745105781456065</v>
      </c>
      <c r="D58" s="93">
        <v>31833</v>
      </c>
      <c r="E58" s="100">
        <f t="shared" si="1"/>
        <v>3.9448540801784495</v>
      </c>
      <c r="F58" s="11"/>
    </row>
    <row r="59" spans="1:16">
      <c r="A59" s="94" t="s">
        <v>164</v>
      </c>
      <c r="B59" s="93">
        <v>11527.5</v>
      </c>
      <c r="C59" s="98">
        <f t="shared" si="0"/>
        <v>18.206729895995387</v>
      </c>
      <c r="D59" s="96">
        <v>90016</v>
      </c>
      <c r="E59" s="98">
        <f t="shared" si="1"/>
        <v>7.8088050314465409</v>
      </c>
      <c r="F59" s="11">
        <f t="shared" si="2"/>
        <v>0.90880503144654057</v>
      </c>
    </row>
    <row r="60" spans="1:16">
      <c r="A60" s="91"/>
      <c r="B60" s="91"/>
    </row>
    <row r="61" spans="1:16">
      <c r="A61" s="91"/>
      <c r="B61" s="92">
        <f>SUM(B39:B60)</f>
        <v>63314.5</v>
      </c>
      <c r="D61">
        <f>SUM(D39:D60)</f>
        <v>436906</v>
      </c>
      <c r="E61">
        <v>6.9</v>
      </c>
    </row>
    <row r="62" spans="1:16">
      <c r="D62">
        <v>2023</v>
      </c>
      <c r="E62">
        <v>2024</v>
      </c>
      <c r="K62" t="s">
        <v>248</v>
      </c>
      <c r="O62" s="149">
        <v>201.2</v>
      </c>
      <c r="P62" t="s">
        <v>246</v>
      </c>
    </row>
    <row r="63" spans="1:16">
      <c r="A63" s="102" t="s">
        <v>160</v>
      </c>
      <c r="B63" s="101">
        <v>8776</v>
      </c>
      <c r="C63" s="101">
        <v>66394</v>
      </c>
      <c r="D63" s="11">
        <f>C63/B63</f>
        <v>7.5654056517775752</v>
      </c>
      <c r="E63" s="11">
        <v>7.2446467495832803</v>
      </c>
      <c r="F63" s="11"/>
      <c r="J63" t="s">
        <v>254</v>
      </c>
      <c r="K63" t="s">
        <v>247</v>
      </c>
      <c r="L63" s="11">
        <f>M63*100/$O$63</f>
        <v>18.108599636269162</v>
      </c>
      <c r="M63">
        <v>2091</v>
      </c>
      <c r="O63">
        <v>11547</v>
      </c>
    </row>
    <row r="64" spans="1:16">
      <c r="A64" s="102" t="s">
        <v>161</v>
      </c>
      <c r="B64" s="101">
        <v>6427</v>
      </c>
      <c r="C64" s="101">
        <v>34205</v>
      </c>
      <c r="D64" s="11">
        <f t="shared" ref="D64:D83" si="3">C64/B64</f>
        <v>5.3220787303563091</v>
      </c>
      <c r="E64" s="11">
        <v>5.3685770750988144</v>
      </c>
      <c r="I64" s="151"/>
      <c r="J64" t="s">
        <v>253</v>
      </c>
      <c r="K64" t="s">
        <v>249</v>
      </c>
      <c r="L64" s="11">
        <f t="shared" ref="L64:L67" si="4">M64*100/$O$63</f>
        <v>11.630726595652551</v>
      </c>
      <c r="M64">
        <v>1343</v>
      </c>
      <c r="O64" s="148">
        <v>213021</v>
      </c>
    </row>
    <row r="65" spans="1:15">
      <c r="A65" s="102" t="s">
        <v>162</v>
      </c>
      <c r="B65" s="101">
        <v>9128</v>
      </c>
      <c r="C65" s="101">
        <v>35543</v>
      </c>
      <c r="D65" s="11">
        <f t="shared" si="3"/>
        <v>3.8938431200701138</v>
      </c>
      <c r="E65" s="11">
        <v>3.9448540801784495</v>
      </c>
      <c r="I65" s="151"/>
      <c r="J65" t="s">
        <v>253</v>
      </c>
      <c r="K65" t="s">
        <v>250</v>
      </c>
      <c r="L65" s="11">
        <f t="shared" si="4"/>
        <v>11.570104789122716</v>
      </c>
      <c r="M65">
        <v>1336</v>
      </c>
      <c r="N65" s="105"/>
      <c r="O65">
        <f>O63*100/O64</f>
        <v>5.4205923359668766</v>
      </c>
    </row>
    <row r="66" spans="1:15">
      <c r="A66" s="102" t="s">
        <v>163</v>
      </c>
      <c r="B66" s="101">
        <v>3018.5</v>
      </c>
      <c r="C66" s="101">
        <v>22209</v>
      </c>
      <c r="D66" s="11">
        <f t="shared" si="3"/>
        <v>7.3576279609077355</v>
      </c>
      <c r="E66" s="11">
        <v>6.6374899003501211</v>
      </c>
      <c r="I66" s="151"/>
      <c r="J66" t="s">
        <v>253</v>
      </c>
      <c r="K66" t="s">
        <v>251</v>
      </c>
      <c r="L66" s="11">
        <f t="shared" si="4"/>
        <v>10.626136658872435</v>
      </c>
      <c r="M66">
        <v>1227</v>
      </c>
      <c r="N66" s="105"/>
    </row>
    <row r="67" spans="1:15">
      <c r="A67" s="102" t="s">
        <v>164</v>
      </c>
      <c r="B67" s="101">
        <v>11892.5</v>
      </c>
      <c r="C67" s="101">
        <v>87232</v>
      </c>
      <c r="D67" s="11">
        <f t="shared" si="3"/>
        <v>7.3350430943872187</v>
      </c>
      <c r="E67" s="11">
        <v>7.8088050314465409</v>
      </c>
      <c r="I67" s="151"/>
      <c r="J67" t="s">
        <v>253</v>
      </c>
      <c r="K67" t="s">
        <v>252</v>
      </c>
      <c r="L67" s="11">
        <f t="shared" si="4"/>
        <v>10.591495626569671</v>
      </c>
      <c r="M67">
        <v>1223</v>
      </c>
    </row>
    <row r="68" spans="1:15">
      <c r="A68" s="102" t="s">
        <v>165</v>
      </c>
      <c r="B68" s="101">
        <v>2340</v>
      </c>
      <c r="C68" s="101">
        <v>17824</v>
      </c>
      <c r="D68" s="11">
        <f t="shared" si="3"/>
        <v>7.6170940170940167</v>
      </c>
      <c r="E68" s="11">
        <v>7.3569576490924806</v>
      </c>
    </row>
    <row r="69" spans="1:15">
      <c r="A69" s="102" t="s">
        <v>166</v>
      </c>
      <c r="B69" s="101">
        <v>1437</v>
      </c>
      <c r="C69" s="101">
        <v>10897</v>
      </c>
      <c r="D69" s="11">
        <f t="shared" si="3"/>
        <v>7.5831593597773139</v>
      </c>
      <c r="E69" s="11">
        <v>7.2950693374422189</v>
      </c>
    </row>
    <row r="70" spans="1:15">
      <c r="A70" s="102" t="s">
        <v>167</v>
      </c>
      <c r="B70" s="101">
        <v>430.5</v>
      </c>
      <c r="C70" s="101">
        <v>10555</v>
      </c>
      <c r="D70" s="11">
        <f t="shared" si="3"/>
        <v>24.518002322880371</v>
      </c>
      <c r="E70" s="11">
        <v>26.155080213903744</v>
      </c>
    </row>
    <row r="71" spans="1:15">
      <c r="A71" s="102" t="s">
        <v>168</v>
      </c>
      <c r="B71" s="101">
        <v>3943.5</v>
      </c>
      <c r="C71" s="101">
        <v>30170</v>
      </c>
      <c r="D71" s="11">
        <f t="shared" si="3"/>
        <v>7.6505642196018764</v>
      </c>
      <c r="E71" s="11">
        <v>7.6051703877790837</v>
      </c>
    </row>
    <row r="72" spans="1:15">
      <c r="A72" s="102" t="s">
        <v>169</v>
      </c>
      <c r="B72" s="101">
        <v>2723</v>
      </c>
      <c r="C72" s="101">
        <v>26812</v>
      </c>
      <c r="D72" s="11">
        <f t="shared" si="3"/>
        <v>9.8464928387807564</v>
      </c>
      <c r="E72" s="11">
        <v>10.540699688257707</v>
      </c>
    </row>
    <row r="73" spans="1:15">
      <c r="A73" s="102" t="s">
        <v>170</v>
      </c>
      <c r="B73" s="101">
        <v>3823</v>
      </c>
      <c r="C73" s="101">
        <v>28875</v>
      </c>
      <c r="D73" s="11">
        <f t="shared" si="3"/>
        <v>7.552968872613131</v>
      </c>
      <c r="E73" s="11">
        <v>7.207958514128479</v>
      </c>
    </row>
    <row r="74" spans="1:15">
      <c r="A74" s="102" t="s">
        <v>171</v>
      </c>
      <c r="B74" s="101">
        <v>0</v>
      </c>
      <c r="C74" s="101">
        <v>0</v>
      </c>
      <c r="D74" s="11">
        <v>0</v>
      </c>
      <c r="E74" s="11">
        <v>3.2868561278863231</v>
      </c>
    </row>
    <row r="75" spans="1:15">
      <c r="A75" s="102" t="s">
        <v>172</v>
      </c>
      <c r="B75" s="101">
        <v>0</v>
      </c>
      <c r="C75" s="101">
        <v>0</v>
      </c>
      <c r="D75" s="11">
        <v>0</v>
      </c>
      <c r="E75" s="11">
        <v>4.6420118343195265</v>
      </c>
    </row>
    <row r="76" spans="1:15" ht="26.25">
      <c r="A76" s="102" t="s">
        <v>173</v>
      </c>
      <c r="B76" s="101">
        <v>498.5</v>
      </c>
      <c r="C76" s="101">
        <v>5162</v>
      </c>
      <c r="D76" s="11">
        <f t="shared" si="3"/>
        <v>10.355065195586761</v>
      </c>
      <c r="E76" s="11">
        <v>12.262833675564682</v>
      </c>
    </row>
    <row r="77" spans="1:15">
      <c r="A77" s="102" t="s">
        <v>174</v>
      </c>
      <c r="B77" s="101">
        <v>641.5</v>
      </c>
      <c r="C77" s="101">
        <v>3929</v>
      </c>
      <c r="D77" s="11">
        <f t="shared" si="3"/>
        <v>6.1247077162899455</v>
      </c>
      <c r="E77" s="11">
        <v>6.0526315789473681</v>
      </c>
    </row>
    <row r="78" spans="1:15">
      <c r="A78" s="102" t="s">
        <v>175</v>
      </c>
      <c r="B78" s="101">
        <v>1241.5</v>
      </c>
      <c r="C78" s="101">
        <v>7948</v>
      </c>
      <c r="D78" s="11">
        <f t="shared" si="3"/>
        <v>6.401933145388643</v>
      </c>
      <c r="E78" s="11">
        <v>6.0512585812356976</v>
      </c>
    </row>
    <row r="79" spans="1:15">
      <c r="A79" s="102" t="s">
        <v>176</v>
      </c>
      <c r="B79" s="101">
        <v>355.5</v>
      </c>
      <c r="C79" s="101">
        <v>2402</v>
      </c>
      <c r="D79" s="11">
        <f t="shared" si="3"/>
        <v>6.756680731364276</v>
      </c>
      <c r="E79" s="11">
        <v>6.3279503105590065</v>
      </c>
    </row>
    <row r="80" spans="1:15">
      <c r="A80" s="102" t="s">
        <v>177</v>
      </c>
      <c r="B80" s="101">
        <v>674.5</v>
      </c>
      <c r="C80" s="101">
        <v>4029</v>
      </c>
      <c r="D80" s="11">
        <f t="shared" si="3"/>
        <v>5.9733135656041512</v>
      </c>
      <c r="E80" s="11">
        <v>5.248048048048048</v>
      </c>
    </row>
    <row r="81" spans="1:5">
      <c r="A81" s="102" t="s">
        <v>178</v>
      </c>
      <c r="B81" s="101">
        <v>2316.5</v>
      </c>
      <c r="C81" s="101">
        <v>18483</v>
      </c>
      <c r="D81" s="11">
        <f t="shared" si="3"/>
        <v>7.9788473990934596</v>
      </c>
      <c r="E81" s="11">
        <v>7.8128654970760234</v>
      </c>
    </row>
    <row r="82" spans="1:5">
      <c r="A82" s="102" t="s">
        <v>179</v>
      </c>
      <c r="B82" s="101">
        <v>1492.5</v>
      </c>
      <c r="C82" s="101">
        <v>9698</v>
      </c>
      <c r="D82" s="11">
        <f t="shared" si="3"/>
        <v>6.4978224455611393</v>
      </c>
      <c r="E82" s="11">
        <v>6.0567073170731707</v>
      </c>
    </row>
    <row r="83" spans="1:5">
      <c r="A83" s="102" t="s">
        <v>92</v>
      </c>
      <c r="B83" s="101">
        <v>3009</v>
      </c>
      <c r="C83" s="101">
        <v>20004</v>
      </c>
      <c r="D83" s="11">
        <f t="shared" si="3"/>
        <v>6.6480558325024921</v>
      </c>
      <c r="E83" s="11">
        <v>7.7164609053497939</v>
      </c>
    </row>
    <row r="85" spans="1:5">
      <c r="B85" s="101">
        <v>64168.5</v>
      </c>
      <c r="E85" s="11">
        <v>6.9</v>
      </c>
    </row>
  </sheetData>
  <sortState xmlns:xlrd2="http://schemas.microsoft.com/office/spreadsheetml/2017/richdata2" ref="A39:E59">
    <sortCondition ref="B39:B59"/>
  </sortState>
  <mergeCells count="2">
    <mergeCell ref="B37:E37"/>
    <mergeCell ref="I64:I67"/>
  </mergeCells>
  <phoneticPr fontId="10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1C579-78E2-4017-9EFA-975E0403DD27}">
  <sheetPr>
    <tabColor rgb="FF187AF0"/>
  </sheetPr>
  <dimension ref="A1:W21"/>
  <sheetViews>
    <sheetView workbookViewId="0">
      <selection activeCell="G28" sqref="G28"/>
    </sheetView>
  </sheetViews>
  <sheetFormatPr defaultRowHeight="15"/>
  <cols>
    <col min="1" max="1" width="16.140625" customWidth="1"/>
    <col min="20" max="20" width="18.5703125" customWidth="1"/>
  </cols>
  <sheetData>
    <row r="1" spans="1:23">
      <c r="A1" t="s">
        <v>5</v>
      </c>
    </row>
    <row r="3" spans="1:23">
      <c r="B3">
        <v>2010</v>
      </c>
      <c r="C3">
        <v>2011</v>
      </c>
      <c r="D3">
        <v>2012</v>
      </c>
      <c r="E3">
        <v>2013</v>
      </c>
      <c r="F3">
        <v>2014</v>
      </c>
      <c r="G3">
        <v>2015</v>
      </c>
      <c r="H3">
        <v>2016</v>
      </c>
      <c r="I3">
        <v>2017</v>
      </c>
      <c r="J3">
        <v>2018</v>
      </c>
      <c r="K3">
        <v>2019</v>
      </c>
      <c r="L3">
        <v>2020</v>
      </c>
      <c r="M3">
        <v>2021</v>
      </c>
      <c r="N3">
        <v>2022</v>
      </c>
      <c r="O3">
        <v>2023</v>
      </c>
      <c r="P3" s="107">
        <v>2024</v>
      </c>
      <c r="Q3" t="s">
        <v>112</v>
      </c>
      <c r="R3" t="s">
        <v>113</v>
      </c>
      <c r="S3" t="s">
        <v>114</v>
      </c>
      <c r="W3" s="85" t="s">
        <v>156</v>
      </c>
    </row>
    <row r="4" spans="1:23">
      <c r="A4" t="s">
        <v>16</v>
      </c>
      <c r="B4">
        <v>7.8</v>
      </c>
      <c r="C4">
        <v>7.5</v>
      </c>
      <c r="D4">
        <v>7.7</v>
      </c>
      <c r="E4">
        <v>7.6</v>
      </c>
      <c r="F4">
        <v>7.6</v>
      </c>
      <c r="G4">
        <v>7.6</v>
      </c>
      <c r="H4">
        <v>7.5</v>
      </c>
      <c r="I4">
        <v>7.2</v>
      </c>
      <c r="J4">
        <v>7.2</v>
      </c>
      <c r="K4">
        <v>7.1</v>
      </c>
      <c r="L4">
        <v>6.9</v>
      </c>
      <c r="M4" s="11">
        <v>7.5</v>
      </c>
      <c r="N4" s="11">
        <v>6.9</v>
      </c>
      <c r="O4" s="11">
        <v>6.9</v>
      </c>
      <c r="P4" s="108">
        <v>6.9</v>
      </c>
      <c r="Q4" s="11">
        <v>7.17</v>
      </c>
      <c r="R4" s="11">
        <f>+P4-Q4</f>
        <v>-0.26999999999999957</v>
      </c>
      <c r="S4" s="11">
        <f>+P4-O4</f>
        <v>0</v>
      </c>
      <c r="V4" s="68" t="s">
        <v>159</v>
      </c>
      <c r="W4" s="68">
        <v>436906</v>
      </c>
    </row>
    <row r="5" spans="1:23" ht="51">
      <c r="A5" s="109" t="s">
        <v>17</v>
      </c>
      <c r="B5">
        <v>30</v>
      </c>
      <c r="C5">
        <v>26.8</v>
      </c>
      <c r="D5">
        <v>30.4</v>
      </c>
      <c r="E5">
        <v>27.9</v>
      </c>
      <c r="F5">
        <v>30.1</v>
      </c>
      <c r="G5">
        <v>29</v>
      </c>
      <c r="H5">
        <v>30</v>
      </c>
      <c r="I5">
        <v>30.3</v>
      </c>
      <c r="J5">
        <v>30.9</v>
      </c>
      <c r="K5">
        <v>27.7</v>
      </c>
      <c r="L5">
        <v>35.700000000000003</v>
      </c>
      <c r="M5" s="11">
        <v>22.580645161290324</v>
      </c>
      <c r="N5" s="11">
        <v>29.863013698630137</v>
      </c>
      <c r="O5" s="11">
        <v>27.8</v>
      </c>
      <c r="P5" s="108">
        <v>29.1</v>
      </c>
      <c r="Q5" s="11">
        <v>29.3</v>
      </c>
      <c r="R5" s="11">
        <f>+P5-Q5</f>
        <v>-0.19999999999999929</v>
      </c>
      <c r="S5" s="11">
        <f>+P5-O5</f>
        <v>1.3000000000000007</v>
      </c>
      <c r="V5" s="83" t="s">
        <v>143</v>
      </c>
      <c r="W5" s="68">
        <v>63314.5</v>
      </c>
    </row>
    <row r="6" spans="1:23" ht="25.5">
      <c r="V6" s="83" t="s">
        <v>16</v>
      </c>
      <c r="W6" s="147">
        <f>W4/W5</f>
        <v>6.900567800424863</v>
      </c>
    </row>
    <row r="8" spans="1:23">
      <c r="T8" s="68"/>
      <c r="U8" s="68" t="s">
        <v>156</v>
      </c>
      <c r="V8" s="68">
        <v>2023</v>
      </c>
    </row>
    <row r="9" spans="1:23">
      <c r="T9" s="68" t="s">
        <v>243</v>
      </c>
      <c r="U9" s="68">
        <v>381</v>
      </c>
      <c r="V9" s="68">
        <v>356</v>
      </c>
    </row>
    <row r="10" spans="1:23">
      <c r="T10" s="68" t="s">
        <v>244</v>
      </c>
      <c r="U10" s="68">
        <v>111</v>
      </c>
      <c r="V10" s="68">
        <v>99</v>
      </c>
    </row>
    <row r="11" spans="1:23">
      <c r="T11" s="68" t="s">
        <v>238</v>
      </c>
      <c r="U11" s="147">
        <f>U10/U9*100</f>
        <v>29.133858267716533</v>
      </c>
      <c r="V11" s="130">
        <f>V10/V9*100</f>
        <v>27.808988764044944</v>
      </c>
    </row>
    <row r="12" spans="1:23">
      <c r="T12" s="68" t="s">
        <v>242</v>
      </c>
      <c r="U12" s="68">
        <v>53</v>
      </c>
      <c r="V12" s="68">
        <v>49</v>
      </c>
    </row>
    <row r="13" spans="1:23">
      <c r="T13" s="68"/>
      <c r="U13" s="130">
        <f>U12*100/U10</f>
        <v>47.747747747747745</v>
      </c>
      <c r="V13" s="130">
        <f>V12*100/V10</f>
        <v>49.494949494949495</v>
      </c>
    </row>
    <row r="21" spans="16:17">
      <c r="P21" t="s">
        <v>183</v>
      </c>
      <c r="Q21" t="s">
        <v>184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60D4F-6363-42E5-B654-F44C5789786F}">
  <sheetPr>
    <tabColor rgb="FF187AF0"/>
  </sheetPr>
  <dimension ref="A1:S5"/>
  <sheetViews>
    <sheetView workbookViewId="0">
      <selection activeCell="H25" sqref="H25"/>
    </sheetView>
  </sheetViews>
  <sheetFormatPr defaultRowHeight="15"/>
  <sheetData>
    <row r="1" spans="1:19">
      <c r="A1" t="s">
        <v>6</v>
      </c>
    </row>
    <row r="4" spans="1:19">
      <c r="A4" s="13"/>
      <c r="B4" s="13">
        <v>2010</v>
      </c>
      <c r="C4" s="13">
        <v>2011</v>
      </c>
      <c r="D4" s="13">
        <v>2012</v>
      </c>
      <c r="E4" s="13">
        <v>2013</v>
      </c>
      <c r="F4" s="13">
        <v>2014</v>
      </c>
      <c r="G4" s="13">
        <v>2015</v>
      </c>
      <c r="H4" s="13">
        <v>2016</v>
      </c>
      <c r="I4" s="13">
        <v>2017</v>
      </c>
      <c r="J4" s="13">
        <v>2018</v>
      </c>
      <c r="K4" s="13">
        <v>2019</v>
      </c>
      <c r="L4" s="13">
        <v>2020</v>
      </c>
      <c r="M4" s="13">
        <v>2021</v>
      </c>
      <c r="N4" s="13">
        <v>2022</v>
      </c>
      <c r="O4" s="13">
        <v>2023</v>
      </c>
      <c r="P4" s="13">
        <v>2024</v>
      </c>
      <c r="Q4" s="19" t="s">
        <v>112</v>
      </c>
      <c r="R4" s="20" t="s">
        <v>113</v>
      </c>
      <c r="S4" s="21" t="s">
        <v>114</v>
      </c>
    </row>
    <row r="5" spans="1:19" ht="76.5">
      <c r="A5" s="22" t="s">
        <v>135</v>
      </c>
      <c r="B5" s="22">
        <v>454.5</v>
      </c>
      <c r="C5" s="22">
        <v>458.2</v>
      </c>
      <c r="D5" s="22">
        <v>555.6</v>
      </c>
      <c r="E5" s="18">
        <v>571.4</v>
      </c>
      <c r="F5" s="18">
        <v>575.20000000000005</v>
      </c>
      <c r="G5" s="18">
        <v>556</v>
      </c>
      <c r="H5" s="18">
        <v>544.29999999999995</v>
      </c>
      <c r="I5" s="18">
        <v>611.4</v>
      </c>
      <c r="J5" s="18">
        <v>644.9</v>
      </c>
      <c r="K5" s="18">
        <v>678.5</v>
      </c>
      <c r="L5" s="18">
        <v>671.3</v>
      </c>
      <c r="M5" s="18">
        <v>572.20000000000005</v>
      </c>
      <c r="N5" s="34">
        <v>896.3</v>
      </c>
      <c r="O5" s="34">
        <v>1060.7</v>
      </c>
      <c r="P5" s="34">
        <v>1034.0999999999999</v>
      </c>
      <c r="Q5" s="24">
        <f>AVERAGE(G5:P5)</f>
        <v>726.96999999999991</v>
      </c>
      <c r="R5" s="25">
        <f>O5-Q5</f>
        <v>333.73000000000013</v>
      </c>
      <c r="S5" s="35">
        <f>O5-N5</f>
        <v>164.40000000000009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C9D78-90E8-4C06-B84A-0F6F91D865D7}">
  <sheetPr>
    <tabColor rgb="FF187AF0"/>
  </sheetPr>
  <dimension ref="A1:AB25"/>
  <sheetViews>
    <sheetView tabSelected="1" topLeftCell="B10" workbookViewId="0">
      <selection activeCell="P27" sqref="P27"/>
    </sheetView>
  </sheetViews>
  <sheetFormatPr defaultRowHeight="15"/>
  <cols>
    <col min="1" max="1" width="42.28515625" customWidth="1"/>
  </cols>
  <sheetData>
    <row r="1" spans="1:23">
      <c r="A1" t="s">
        <v>7</v>
      </c>
    </row>
    <row r="5" spans="1:23" s="13" customFormat="1">
      <c r="B5" s="13">
        <v>2010</v>
      </c>
      <c r="C5" s="13">
        <v>2011</v>
      </c>
      <c r="D5" s="13">
        <v>2012</v>
      </c>
      <c r="E5" s="13">
        <v>2013</v>
      </c>
      <c r="F5" s="13">
        <v>2014</v>
      </c>
      <c r="G5" s="13">
        <v>2015</v>
      </c>
      <c r="H5" s="13">
        <v>2016</v>
      </c>
      <c r="I5" s="13">
        <v>2017</v>
      </c>
      <c r="J5" s="13">
        <v>2018</v>
      </c>
      <c r="K5" s="13">
        <v>2019</v>
      </c>
      <c r="L5" s="13">
        <v>2020</v>
      </c>
      <c r="M5" s="13">
        <v>2021</v>
      </c>
      <c r="N5" s="13">
        <v>2022</v>
      </c>
      <c r="O5" s="13">
        <v>2023</v>
      </c>
      <c r="P5" s="13">
        <v>2024</v>
      </c>
      <c r="Q5" s="19" t="s">
        <v>112</v>
      </c>
      <c r="R5" s="20" t="s">
        <v>113</v>
      </c>
      <c r="S5" s="21" t="s">
        <v>114</v>
      </c>
    </row>
    <row r="6" spans="1:23" s="13" customFormat="1">
      <c r="A6" s="22" t="s">
        <v>136</v>
      </c>
      <c r="B6" s="22">
        <v>14.2</v>
      </c>
      <c r="C6" s="22">
        <v>63.7</v>
      </c>
      <c r="D6" s="22">
        <v>33.200000000000003</v>
      </c>
      <c r="E6" s="23">
        <v>20.3</v>
      </c>
      <c r="F6" s="23">
        <v>31</v>
      </c>
      <c r="G6" s="23">
        <v>20.7</v>
      </c>
      <c r="H6" s="23">
        <v>62.7</v>
      </c>
      <c r="I6" s="23">
        <v>21.9</v>
      </c>
      <c r="J6" s="23">
        <v>10.4</v>
      </c>
      <c r="K6" s="23">
        <v>20.2</v>
      </c>
      <c r="L6" s="23">
        <v>10.3</v>
      </c>
      <c r="M6" s="23">
        <f>M13*100000/M12</f>
        <v>66.115702479338836</v>
      </c>
      <c r="N6" s="23">
        <f>N13*100000/N12</f>
        <v>12.262415695892091</v>
      </c>
      <c r="O6" s="23">
        <v>0</v>
      </c>
      <c r="P6" s="23">
        <f>P13*100000/P12</f>
        <v>27.288852503752217</v>
      </c>
      <c r="Q6" s="24">
        <f>AVERAGE(G6:P6)</f>
        <v>25.186697067898315</v>
      </c>
      <c r="R6" s="25">
        <f>P6-Q6</f>
        <v>2.1021554358539021</v>
      </c>
      <c r="S6" s="26">
        <f>P6-O6</f>
        <v>27.288852503752217</v>
      </c>
      <c r="U6" s="146" t="s">
        <v>236</v>
      </c>
      <c r="V6" s="145" t="s">
        <v>237</v>
      </c>
      <c r="W6" s="13" t="s">
        <v>245</v>
      </c>
    </row>
    <row r="7" spans="1:23" s="13" customFormat="1">
      <c r="A7" s="22" t="s">
        <v>137</v>
      </c>
      <c r="B7" s="22">
        <v>21.8</v>
      </c>
      <c r="C7" s="22">
        <v>15.9</v>
      </c>
      <c r="D7" s="22">
        <v>14.9</v>
      </c>
      <c r="E7" s="23">
        <v>10.199999999999999</v>
      </c>
      <c r="F7" s="23">
        <v>11.7</v>
      </c>
      <c r="G7" s="23">
        <v>8.8000000000000007</v>
      </c>
      <c r="H7" s="23">
        <v>11.3</v>
      </c>
      <c r="I7" s="23">
        <v>8.4</v>
      </c>
      <c r="J7" s="23">
        <v>7.4</v>
      </c>
      <c r="K7" s="23">
        <v>8.4</v>
      </c>
      <c r="L7" s="23">
        <v>8.1</v>
      </c>
      <c r="M7" s="23">
        <f>M14*1000/M12</f>
        <v>11.460055096418733</v>
      </c>
      <c r="N7" s="23">
        <f>N14*1000/N12</f>
        <v>8.3384426732066217</v>
      </c>
      <c r="O7" s="23">
        <v>6.9</v>
      </c>
      <c r="P7" s="23">
        <f>P14*1000/P12</f>
        <v>7.5044344385318595</v>
      </c>
      <c r="Q7" s="24">
        <f>AVERAGE(G7:P7)</f>
        <v>8.6602932208157224</v>
      </c>
      <c r="R7" s="25">
        <f>P7-Q7</f>
        <v>-1.1558587822838629</v>
      </c>
      <c r="S7" s="26">
        <f>P7-O7</f>
        <v>0.60443443853185919</v>
      </c>
    </row>
    <row r="8" spans="1:23" s="13" customFormat="1" ht="12.75"/>
    <row r="9" spans="1:23" s="13" customFormat="1" ht="12.75">
      <c r="K9" s="28">
        <f>P6-G6</f>
        <v>6.5888525037522179</v>
      </c>
    </row>
    <row r="10" spans="1:23" s="13" customFormat="1" ht="12.75"/>
    <row r="11" spans="1:23" s="13" customFormat="1">
      <c r="B11" s="13">
        <v>2010</v>
      </c>
      <c r="C11" s="13">
        <v>2011</v>
      </c>
      <c r="D11" s="13">
        <v>2012</v>
      </c>
      <c r="E11" s="13">
        <v>2013</v>
      </c>
      <c r="F11" s="13">
        <v>2014</v>
      </c>
      <c r="G11" s="13">
        <v>2015</v>
      </c>
      <c r="H11" s="13">
        <v>2016</v>
      </c>
      <c r="I11" s="13">
        <v>2017</v>
      </c>
      <c r="J11" s="13">
        <v>2018</v>
      </c>
      <c r="K11" s="13">
        <v>2019</v>
      </c>
      <c r="L11" s="13">
        <v>2020</v>
      </c>
      <c r="M11" s="13">
        <v>2021</v>
      </c>
      <c r="N11" s="13">
        <v>2022</v>
      </c>
      <c r="O11" s="13">
        <v>2023</v>
      </c>
      <c r="P11" s="13">
        <v>2024</v>
      </c>
      <c r="Q11" s="19" t="s">
        <v>112</v>
      </c>
    </row>
    <row r="12" spans="1:23" s="36" customFormat="1" ht="12.75">
      <c r="A12" s="36" t="s">
        <v>138</v>
      </c>
      <c r="M12" s="36">
        <v>9075</v>
      </c>
      <c r="N12" s="36">
        <v>8155</v>
      </c>
      <c r="O12" s="36">
        <v>8129</v>
      </c>
      <c r="P12" s="36">
        <v>7329</v>
      </c>
    </row>
    <row r="13" spans="1:23" s="38" customFormat="1" ht="12.75">
      <c r="A13" s="37" t="s">
        <v>139</v>
      </c>
      <c r="M13" s="38">
        <v>6</v>
      </c>
      <c r="N13" s="38">
        <v>1</v>
      </c>
      <c r="O13" s="38">
        <v>0</v>
      </c>
      <c r="P13" s="38">
        <v>2</v>
      </c>
    </row>
    <row r="14" spans="1:23" s="30" customFormat="1" ht="12.75">
      <c r="A14" s="39" t="s">
        <v>140</v>
      </c>
      <c r="M14" s="30">
        <v>104</v>
      </c>
      <c r="N14" s="30">
        <v>68</v>
      </c>
      <c r="O14" s="30">
        <v>56</v>
      </c>
      <c r="P14" s="30">
        <v>55</v>
      </c>
      <c r="Q14" s="30" t="s">
        <v>239</v>
      </c>
    </row>
    <row r="15" spans="1:23" s="13" customFormat="1" ht="12.75">
      <c r="O15" s="28">
        <f>+O14/O12*1000</f>
        <v>6.888916225858039</v>
      </c>
      <c r="P15" s="28"/>
    </row>
    <row r="16" spans="1:23" s="13" customFormat="1" ht="12.75"/>
    <row r="17" spans="13:28">
      <c r="S17" s="157" t="s">
        <v>197</v>
      </c>
      <c r="T17" s="158" t="s">
        <v>198</v>
      </c>
      <c r="U17" s="157" t="s">
        <v>199</v>
      </c>
      <c r="V17" s="160" t="s">
        <v>200</v>
      </c>
      <c r="W17" s="160" t="s">
        <v>201</v>
      </c>
      <c r="X17" s="160" t="s">
        <v>202</v>
      </c>
      <c r="Y17" s="160" t="s">
        <v>203</v>
      </c>
      <c r="Z17" s="159" t="s">
        <v>204</v>
      </c>
      <c r="AA17" s="159" t="s">
        <v>205</v>
      </c>
      <c r="AB17" s="159" t="s">
        <v>206</v>
      </c>
    </row>
    <row r="18" spans="13:28" ht="135">
      <c r="M18" s="68"/>
      <c r="N18" s="112"/>
      <c r="O18" s="112"/>
      <c r="P18" s="112"/>
      <c r="Q18" s="112"/>
      <c r="R18" s="113" t="s">
        <v>196</v>
      </c>
      <c r="S18" s="157"/>
      <c r="T18" s="158"/>
      <c r="U18" s="157"/>
      <c r="V18" s="160"/>
      <c r="W18" s="160"/>
      <c r="X18" s="160"/>
      <c r="Y18" s="160"/>
      <c r="Z18" s="159"/>
      <c r="AA18" s="159"/>
      <c r="AB18" s="159"/>
    </row>
    <row r="19" spans="13:28">
      <c r="M19" s="68"/>
      <c r="N19" s="68"/>
      <c r="O19" s="68"/>
      <c r="P19" s="68"/>
      <c r="Q19" s="68"/>
      <c r="R19" s="114">
        <v>28422</v>
      </c>
    </row>
    <row r="20" spans="13:28">
      <c r="M20" s="68"/>
      <c r="N20" s="68"/>
      <c r="O20" s="68"/>
      <c r="P20" s="68"/>
      <c r="Q20" s="68"/>
      <c r="R20" s="114">
        <v>27001</v>
      </c>
    </row>
    <row r="21" spans="13:28">
      <c r="M21" s="68"/>
      <c r="N21" s="68"/>
      <c r="O21" s="68"/>
      <c r="P21" s="68"/>
      <c r="Q21" s="68"/>
      <c r="R21" s="114">
        <v>22130</v>
      </c>
    </row>
    <row r="22" spans="13:28">
      <c r="M22" s="68"/>
      <c r="N22" s="68"/>
      <c r="O22" s="68"/>
      <c r="P22" s="68"/>
      <c r="Q22" s="68"/>
      <c r="R22" s="114">
        <v>17268</v>
      </c>
    </row>
    <row r="23" spans="13:28">
      <c r="M23" s="68"/>
      <c r="N23" s="68"/>
      <c r="O23" s="68"/>
      <c r="P23" s="68"/>
      <c r="Q23" s="68"/>
      <c r="R23" s="114">
        <v>21138</v>
      </c>
    </row>
    <row r="24" spans="13:28">
      <c r="M24" s="68"/>
      <c r="N24" s="68"/>
      <c r="O24" s="68"/>
      <c r="P24" s="68"/>
      <c r="Q24" s="68"/>
      <c r="R24" s="150">
        <v>87442</v>
      </c>
      <c r="S24">
        <v>15509</v>
      </c>
      <c r="T24">
        <v>13750</v>
      </c>
      <c r="U24">
        <v>58183</v>
      </c>
      <c r="V24">
        <v>6979</v>
      </c>
      <c r="W24">
        <v>73751</v>
      </c>
      <c r="X24">
        <v>1555</v>
      </c>
      <c r="Y24">
        <v>5157</v>
      </c>
      <c r="Z24">
        <v>50898</v>
      </c>
      <c r="AA24">
        <v>17169</v>
      </c>
      <c r="AB24" t="e">
        <v>#VALUE!</v>
      </c>
    </row>
    <row r="25" spans="13:28">
      <c r="S25">
        <v>17.736328080327532</v>
      </c>
      <c r="T25">
        <v>15.724708949932527</v>
      </c>
      <c r="U25">
        <v>66.538962969739941</v>
      </c>
      <c r="V25">
        <v>7.9812904553875708</v>
      </c>
      <c r="W25">
        <v>84.342764346652643</v>
      </c>
      <c r="X25">
        <v>1.778321630337824</v>
      </c>
      <c r="Y25">
        <v>5.8976235676219666</v>
      </c>
      <c r="Z25">
        <v>58.207726264266597</v>
      </c>
      <c r="AA25">
        <v>19.63472930628302</v>
      </c>
      <c r="AB25" t="e">
        <v>#VALUE!</v>
      </c>
    </row>
  </sheetData>
  <mergeCells count="10">
    <mergeCell ref="S17:S18"/>
    <mergeCell ref="T17:T18"/>
    <mergeCell ref="U17:U18"/>
    <mergeCell ref="AB17:AB18"/>
    <mergeCell ref="V17:V18"/>
    <mergeCell ref="W17:W18"/>
    <mergeCell ref="X17:X18"/>
    <mergeCell ref="Y17:Y18"/>
    <mergeCell ref="Z17:Z18"/>
    <mergeCell ref="AA17:AA1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5A379-42DC-40A0-802A-87F67FC48A06}">
  <sheetPr>
    <tabColor rgb="FF187AF0"/>
  </sheetPr>
  <dimension ref="A1:S6"/>
  <sheetViews>
    <sheetView workbookViewId="0">
      <selection activeCell="M27" sqref="M27"/>
    </sheetView>
  </sheetViews>
  <sheetFormatPr defaultRowHeight="15"/>
  <cols>
    <col min="1" max="1" width="15.42578125" customWidth="1"/>
  </cols>
  <sheetData>
    <row r="1" spans="1:19">
      <c r="A1" t="s">
        <v>158</v>
      </c>
    </row>
    <row r="4" spans="1:19" s="13" customFormat="1">
      <c r="B4" s="13">
        <v>2010</v>
      </c>
      <c r="C4" s="13">
        <v>2011</v>
      </c>
      <c r="D4" s="13">
        <v>2012</v>
      </c>
      <c r="E4" s="13">
        <v>2013</v>
      </c>
      <c r="F4" s="13">
        <v>2014</v>
      </c>
      <c r="G4" s="13">
        <v>2015</v>
      </c>
      <c r="H4" s="13">
        <v>2016</v>
      </c>
      <c r="I4" s="13">
        <v>2017</v>
      </c>
      <c r="J4" s="13">
        <v>2018</v>
      </c>
      <c r="K4" s="13">
        <v>2019</v>
      </c>
      <c r="L4" s="13">
        <v>2020</v>
      </c>
      <c r="M4" s="13">
        <v>2021</v>
      </c>
      <c r="N4" s="13">
        <v>2022</v>
      </c>
      <c r="O4" s="13">
        <v>2023</v>
      </c>
      <c r="P4" s="13">
        <v>2024</v>
      </c>
      <c r="Q4" s="19" t="s">
        <v>112</v>
      </c>
      <c r="R4" s="20" t="s">
        <v>113</v>
      </c>
      <c r="S4" s="21" t="s">
        <v>114</v>
      </c>
    </row>
    <row r="5" spans="1:19" s="13" customFormat="1">
      <c r="A5" s="17" t="s">
        <v>141</v>
      </c>
      <c r="B5" s="17">
        <v>1207</v>
      </c>
      <c r="C5" s="17">
        <v>1280</v>
      </c>
      <c r="D5" s="17">
        <v>1327</v>
      </c>
      <c r="E5" s="40">
        <v>1383</v>
      </c>
      <c r="F5" s="40">
        <v>1229</v>
      </c>
      <c r="G5" s="40">
        <v>1221</v>
      </c>
      <c r="H5" s="40">
        <v>1217</v>
      </c>
      <c r="I5" s="40">
        <v>1225</v>
      </c>
      <c r="J5" s="40">
        <v>1258</v>
      </c>
      <c r="K5" s="40">
        <v>1380</v>
      </c>
      <c r="L5" s="40">
        <v>1437</v>
      </c>
      <c r="M5" s="40">
        <v>1533</v>
      </c>
      <c r="N5" s="40">
        <v>1561</v>
      </c>
      <c r="O5" s="77">
        <v>1646</v>
      </c>
      <c r="P5" s="40">
        <v>1713</v>
      </c>
      <c r="Q5" s="41">
        <f>AVERAGE(G5:P5)</f>
        <v>1419.1</v>
      </c>
      <c r="R5" s="42">
        <f>P5-Q5</f>
        <v>293.90000000000009</v>
      </c>
      <c r="S5" s="21">
        <f>P5-O5</f>
        <v>67</v>
      </c>
    </row>
    <row r="6" spans="1:19" s="13" customFormat="1">
      <c r="A6" s="17" t="s">
        <v>142</v>
      </c>
      <c r="B6" s="17">
        <v>1866</v>
      </c>
      <c r="C6" s="17">
        <v>1937</v>
      </c>
      <c r="D6" s="17">
        <v>1988</v>
      </c>
      <c r="E6" s="40">
        <v>2071</v>
      </c>
      <c r="F6" s="40">
        <v>1879</v>
      </c>
      <c r="G6" s="40">
        <v>1912</v>
      </c>
      <c r="H6" s="40">
        <v>1917</v>
      </c>
      <c r="I6" s="40">
        <v>1943</v>
      </c>
      <c r="J6" s="40">
        <v>2035</v>
      </c>
      <c r="K6" s="40">
        <v>2158</v>
      </c>
      <c r="L6" s="40">
        <v>2210</v>
      </c>
      <c r="M6" s="40">
        <v>2256</v>
      </c>
      <c r="N6" s="40">
        <v>2135</v>
      </c>
      <c r="O6" s="40">
        <v>2228</v>
      </c>
      <c r="P6" s="40">
        <v>2372</v>
      </c>
      <c r="Q6" s="41">
        <f>AVERAGE(G6:P6)</f>
        <v>2116.6</v>
      </c>
      <c r="R6" s="42">
        <f>P6-Q6</f>
        <v>255.40000000000009</v>
      </c>
      <c r="S6" s="21">
        <f>+P6-O6</f>
        <v>144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4.32</vt:lpstr>
      <vt:lpstr>4.33</vt:lpstr>
      <vt:lpstr>4.34</vt:lpstr>
      <vt:lpstr>4.35</vt:lpstr>
      <vt:lpstr>4.36</vt:lpstr>
      <vt:lpstr>4.37</vt:lpstr>
      <vt:lpstr>4.38</vt:lpstr>
      <vt:lpstr>4.39</vt:lpstr>
      <vt:lpstr>4.40</vt:lpstr>
      <vt:lpstr>4.41</vt:lpstr>
      <vt:lpstr>4.42</vt:lpstr>
      <vt:lpstr>4.43</vt:lpstr>
      <vt:lpstr>4.44</vt:lpstr>
      <vt:lpstr>table 4.3</vt:lpstr>
      <vt:lpstr>4.45</vt:lpstr>
      <vt:lpstr>4.46</vt:lpstr>
      <vt:lpstr>4.47</vt:lpstr>
      <vt:lpstr>4.48</vt:lpstr>
      <vt:lpstr>table 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Dolgormaa</dc:creator>
  <cp:lastModifiedBy>User</cp:lastModifiedBy>
  <dcterms:created xsi:type="dcterms:W3CDTF">2024-04-01T03:03:16Z</dcterms:created>
  <dcterms:modified xsi:type="dcterms:W3CDTF">2025-04-23T07:04:17Z</dcterms:modified>
</cp:coreProperties>
</file>